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 2" sheetId="5" r:id="rId2"/>
  </sheets>
  <calcPr calcId="145621"/>
</workbook>
</file>

<file path=xl/calcChain.xml><?xml version="1.0" encoding="utf-8"?>
<calcChain xmlns="http://schemas.openxmlformats.org/spreadsheetml/2006/main">
  <c r="Q11" i="1" l="1"/>
  <c r="Q51" i="1"/>
  <c r="Q104" i="1"/>
  <c r="Q84" i="1"/>
  <c r="Q83" i="1"/>
  <c r="Q70" i="1"/>
  <c r="Q41" i="1"/>
  <c r="Q44" i="1"/>
  <c r="O99" i="1" l="1"/>
  <c r="O100" i="1"/>
  <c r="O101" i="1" l="1"/>
  <c r="O92" i="1"/>
  <c r="O83" i="1" l="1"/>
  <c r="O82" i="1"/>
  <c r="O70" i="1"/>
  <c r="O69" i="1"/>
  <c r="O54" i="1"/>
  <c r="O53" i="1"/>
  <c r="O51" i="1"/>
  <c r="O34" i="1"/>
  <c r="O22" i="1"/>
  <c r="O12" i="1"/>
  <c r="M53" i="1"/>
  <c r="M50" i="1"/>
  <c r="M22" i="1"/>
  <c r="M101" i="1"/>
  <c r="M100" i="1"/>
  <c r="M99" i="1"/>
  <c r="M85" i="1"/>
  <c r="M72" i="1"/>
  <c r="M70" i="1"/>
  <c r="M26" i="1"/>
  <c r="M24" i="1"/>
  <c r="O61" i="1" l="1"/>
  <c r="M51" i="1" l="1"/>
  <c r="Q55" i="1"/>
  <c r="P55" i="1"/>
  <c r="O55" i="1"/>
  <c r="M55" i="1"/>
  <c r="Q49" i="1" l="1"/>
  <c r="P49" i="1"/>
  <c r="O49" i="1"/>
  <c r="M49" i="1"/>
  <c r="Q63" i="1"/>
  <c r="P63" i="1"/>
  <c r="O63" i="1"/>
  <c r="M63" i="1"/>
  <c r="Q50" i="1"/>
  <c r="P50" i="1"/>
  <c r="O50" i="1"/>
  <c r="Q52" i="1"/>
  <c r="P52" i="1"/>
  <c r="O52" i="1"/>
  <c r="M52" i="1"/>
  <c r="Q61" i="1"/>
  <c r="P61" i="1"/>
  <c r="M61" i="1"/>
  <c r="Q64" i="1"/>
  <c r="P64" i="1"/>
  <c r="O64" i="1"/>
  <c r="M64" i="1"/>
  <c r="Q54" i="1"/>
  <c r="P54" i="1"/>
  <c r="M54" i="1"/>
  <c r="P51" i="1"/>
  <c r="Q59" i="1"/>
  <c r="P59" i="1"/>
  <c r="O59" i="1"/>
  <c r="M59" i="1"/>
  <c r="L49" i="1"/>
  <c r="L72" i="1" l="1"/>
  <c r="L71" i="1"/>
  <c r="L70" i="1"/>
  <c r="L68" i="1"/>
  <c r="L67" i="1"/>
  <c r="L66" i="1"/>
  <c r="L16" i="1"/>
  <c r="L45" i="1"/>
  <c r="L40" i="1"/>
  <c r="L13" i="1"/>
  <c r="L26" i="1"/>
  <c r="D6" i="5" l="1"/>
  <c r="D7" i="5"/>
  <c r="D8" i="5"/>
  <c r="D9" i="5"/>
  <c r="D5" i="5"/>
  <c r="Q65" i="1" l="1"/>
  <c r="P65" i="1"/>
  <c r="O65" i="1"/>
  <c r="M65" i="1"/>
  <c r="L65" i="1"/>
  <c r="K65" i="1"/>
  <c r="I65" i="1"/>
  <c r="H65" i="1"/>
  <c r="G65" i="1"/>
  <c r="E65" i="1"/>
  <c r="D65" i="1"/>
  <c r="C65" i="1"/>
  <c r="K10" i="1"/>
  <c r="L10" i="1"/>
  <c r="C11" i="5" l="1"/>
  <c r="B11" i="5"/>
  <c r="D11" i="5" s="1"/>
  <c r="R12" i="1" l="1"/>
  <c r="R13" i="1"/>
  <c r="R14" i="1"/>
  <c r="R15" i="1"/>
  <c r="R16" i="1"/>
  <c r="N12" i="1"/>
  <c r="N13" i="1"/>
  <c r="N14" i="1"/>
  <c r="N15" i="1"/>
  <c r="N16" i="1"/>
  <c r="J12" i="1"/>
  <c r="J13" i="1"/>
  <c r="J14" i="1"/>
  <c r="J15" i="1"/>
  <c r="J16" i="1"/>
  <c r="F12" i="1"/>
  <c r="F13" i="1"/>
  <c r="F14" i="1"/>
  <c r="F15" i="1"/>
  <c r="S15" i="1" s="1"/>
  <c r="F16" i="1"/>
  <c r="R11" i="1"/>
  <c r="N11" i="1"/>
  <c r="J11" i="1"/>
  <c r="F11" i="1"/>
  <c r="S13" i="1" l="1"/>
  <c r="S11" i="1"/>
  <c r="S14" i="1"/>
  <c r="S16" i="1"/>
  <c r="S12" i="1"/>
  <c r="S97" i="1"/>
  <c r="R97" i="1"/>
  <c r="N97" i="1"/>
  <c r="J97" i="1"/>
  <c r="F97" i="1"/>
  <c r="Q10" i="1"/>
  <c r="P41" i="1"/>
  <c r="P10" i="1" s="1"/>
  <c r="O41" i="1"/>
  <c r="O10" i="1" s="1"/>
  <c r="M41" i="1"/>
  <c r="M10" i="1" s="1"/>
  <c r="I41" i="1"/>
  <c r="I10" i="1" s="1"/>
  <c r="H41" i="1"/>
  <c r="H10" i="1" s="1"/>
  <c r="G41" i="1"/>
  <c r="G10" i="1" s="1"/>
  <c r="E41" i="1"/>
  <c r="E10" i="1" s="1"/>
  <c r="D41" i="1"/>
  <c r="D10" i="1" s="1"/>
  <c r="C41" i="1"/>
  <c r="C10" i="1" s="1"/>
  <c r="R87" i="1" l="1"/>
  <c r="S87" i="1"/>
  <c r="N87" i="1"/>
  <c r="J87" i="1"/>
  <c r="F87" i="1"/>
  <c r="S46" i="1"/>
  <c r="R46" i="1"/>
  <c r="N46" i="1"/>
  <c r="J46" i="1"/>
  <c r="F46" i="1"/>
  <c r="R67" i="1" l="1"/>
  <c r="S67" i="1"/>
  <c r="N67" i="1"/>
  <c r="J67" i="1"/>
  <c r="F67" i="1"/>
  <c r="S105" i="1" l="1"/>
  <c r="R105" i="1"/>
  <c r="N105" i="1"/>
  <c r="J105" i="1"/>
  <c r="F105" i="1"/>
  <c r="S104" i="1"/>
  <c r="R104" i="1"/>
  <c r="N104" i="1"/>
  <c r="J104" i="1"/>
  <c r="F104" i="1"/>
  <c r="Q103" i="1"/>
  <c r="P103" i="1"/>
  <c r="O103" i="1"/>
  <c r="M103" i="1"/>
  <c r="L103" i="1"/>
  <c r="K103" i="1"/>
  <c r="I103" i="1"/>
  <c r="H103" i="1"/>
  <c r="G103" i="1"/>
  <c r="E103" i="1"/>
  <c r="D103" i="1"/>
  <c r="C103" i="1"/>
  <c r="P102" i="1"/>
  <c r="O102" i="1"/>
  <c r="O98" i="1" s="1"/>
  <c r="N102" i="1"/>
  <c r="G102" i="1"/>
  <c r="J102" i="1" s="1"/>
  <c r="F102" i="1"/>
  <c r="R101" i="1"/>
  <c r="N101" i="1"/>
  <c r="J101" i="1"/>
  <c r="E101" i="1"/>
  <c r="S101" i="1" s="1"/>
  <c r="S100" i="1"/>
  <c r="R100" i="1"/>
  <c r="N100" i="1"/>
  <c r="J100" i="1"/>
  <c r="F100" i="1"/>
  <c r="S99" i="1"/>
  <c r="R99" i="1"/>
  <c r="N99" i="1"/>
  <c r="J99" i="1"/>
  <c r="F99" i="1"/>
  <c r="Q98" i="1"/>
  <c r="P98" i="1"/>
  <c r="M98" i="1"/>
  <c r="L98" i="1"/>
  <c r="K98" i="1"/>
  <c r="I98" i="1"/>
  <c r="H98" i="1"/>
  <c r="D98" i="1"/>
  <c r="C98" i="1"/>
  <c r="Q96" i="1"/>
  <c r="P96" i="1"/>
  <c r="O96" i="1"/>
  <c r="M96" i="1"/>
  <c r="L96" i="1"/>
  <c r="K96" i="1"/>
  <c r="I96" i="1"/>
  <c r="H96" i="1"/>
  <c r="G96" i="1"/>
  <c r="E96" i="1"/>
  <c r="D96" i="1"/>
  <c r="C96" i="1"/>
  <c r="S95" i="1"/>
  <c r="R95" i="1"/>
  <c r="N95" i="1"/>
  <c r="J95" i="1"/>
  <c r="F95" i="1"/>
  <c r="S94" i="1"/>
  <c r="R94" i="1"/>
  <c r="N94" i="1"/>
  <c r="J94" i="1"/>
  <c r="F94" i="1"/>
  <c r="R93" i="1"/>
  <c r="N93" i="1"/>
  <c r="J93" i="1"/>
  <c r="S93" i="1"/>
  <c r="S92" i="1"/>
  <c r="R92" i="1"/>
  <c r="N92" i="1"/>
  <c r="J92" i="1"/>
  <c r="F92" i="1"/>
  <c r="Q91" i="1"/>
  <c r="P91" i="1"/>
  <c r="O91" i="1"/>
  <c r="M91" i="1"/>
  <c r="L91" i="1"/>
  <c r="K91" i="1"/>
  <c r="I91" i="1"/>
  <c r="H91" i="1"/>
  <c r="G91" i="1"/>
  <c r="E91" i="1"/>
  <c r="D91" i="1"/>
  <c r="C91" i="1"/>
  <c r="R86" i="1"/>
  <c r="N86" i="1"/>
  <c r="J86" i="1"/>
  <c r="F86" i="1"/>
  <c r="S85" i="1"/>
  <c r="R85" i="1"/>
  <c r="N85" i="1"/>
  <c r="J85" i="1"/>
  <c r="F85" i="1"/>
  <c r="S84" i="1"/>
  <c r="R84" i="1"/>
  <c r="N84" i="1"/>
  <c r="J84" i="1"/>
  <c r="F84" i="1"/>
  <c r="S83" i="1"/>
  <c r="R83" i="1"/>
  <c r="N83" i="1"/>
  <c r="J83" i="1"/>
  <c r="F83" i="1"/>
  <c r="S82" i="1"/>
  <c r="R82" i="1"/>
  <c r="N82" i="1"/>
  <c r="J82" i="1"/>
  <c r="F82" i="1"/>
  <c r="S81" i="1"/>
  <c r="R81" i="1"/>
  <c r="N81" i="1"/>
  <c r="J81" i="1"/>
  <c r="F81" i="1"/>
  <c r="S80" i="1"/>
  <c r="R80" i="1"/>
  <c r="N80" i="1"/>
  <c r="J80" i="1"/>
  <c r="F80" i="1"/>
  <c r="S79" i="1"/>
  <c r="R79" i="1"/>
  <c r="N79" i="1"/>
  <c r="J79" i="1"/>
  <c r="F79" i="1"/>
  <c r="S78" i="1"/>
  <c r="R78" i="1"/>
  <c r="N78" i="1"/>
  <c r="J78" i="1"/>
  <c r="F78" i="1"/>
  <c r="S77" i="1"/>
  <c r="R77" i="1"/>
  <c r="N77" i="1"/>
  <c r="J77" i="1"/>
  <c r="F77" i="1"/>
  <c r="S76" i="1"/>
  <c r="R76" i="1"/>
  <c r="N76" i="1"/>
  <c r="J76" i="1"/>
  <c r="F76" i="1"/>
  <c r="S75" i="1"/>
  <c r="R75" i="1"/>
  <c r="N75" i="1"/>
  <c r="J75" i="1"/>
  <c r="F75" i="1"/>
  <c r="S74" i="1"/>
  <c r="R74" i="1"/>
  <c r="N74" i="1"/>
  <c r="J74" i="1"/>
  <c r="F74" i="1"/>
  <c r="S73" i="1"/>
  <c r="R73" i="1"/>
  <c r="N73" i="1"/>
  <c r="J73" i="1"/>
  <c r="F73" i="1"/>
  <c r="S72" i="1"/>
  <c r="R72" i="1"/>
  <c r="N72" i="1"/>
  <c r="J72" i="1"/>
  <c r="F72" i="1"/>
  <c r="S71" i="1"/>
  <c r="R71" i="1"/>
  <c r="N71" i="1"/>
  <c r="J71" i="1"/>
  <c r="F71" i="1"/>
  <c r="S70" i="1"/>
  <c r="R70" i="1"/>
  <c r="N70" i="1"/>
  <c r="J70" i="1"/>
  <c r="F70" i="1"/>
  <c r="S69" i="1"/>
  <c r="R69" i="1"/>
  <c r="N69" i="1"/>
  <c r="J69" i="1"/>
  <c r="F69" i="1"/>
  <c r="S68" i="1"/>
  <c r="R68" i="1"/>
  <c r="N68" i="1"/>
  <c r="J68" i="1"/>
  <c r="F68" i="1"/>
  <c r="S66" i="1"/>
  <c r="R66" i="1"/>
  <c r="N66" i="1"/>
  <c r="F66" i="1"/>
  <c r="S64" i="1"/>
  <c r="R64" i="1"/>
  <c r="N64" i="1"/>
  <c r="J64" i="1"/>
  <c r="F64" i="1"/>
  <c r="S63" i="1"/>
  <c r="R63" i="1"/>
  <c r="N63" i="1"/>
  <c r="J63" i="1"/>
  <c r="F63" i="1"/>
  <c r="S62" i="1"/>
  <c r="R62" i="1"/>
  <c r="N62" i="1"/>
  <c r="J62" i="1"/>
  <c r="F62" i="1"/>
  <c r="S61" i="1"/>
  <c r="R61" i="1"/>
  <c r="N61" i="1"/>
  <c r="J61" i="1"/>
  <c r="F61" i="1"/>
  <c r="S60" i="1"/>
  <c r="N60" i="1"/>
  <c r="J60" i="1"/>
  <c r="F60" i="1"/>
  <c r="S59" i="1"/>
  <c r="R59" i="1"/>
  <c r="N59" i="1"/>
  <c r="J59" i="1"/>
  <c r="F59" i="1"/>
  <c r="S58" i="1"/>
  <c r="R58" i="1"/>
  <c r="N58" i="1"/>
  <c r="J58" i="1"/>
  <c r="F58" i="1"/>
  <c r="S57" i="1"/>
  <c r="R57" i="1"/>
  <c r="N57" i="1"/>
  <c r="J57" i="1"/>
  <c r="F57" i="1"/>
  <c r="S56" i="1"/>
  <c r="R56" i="1"/>
  <c r="N56" i="1"/>
  <c r="J56" i="1"/>
  <c r="F56" i="1"/>
  <c r="S55" i="1"/>
  <c r="R55" i="1"/>
  <c r="N55" i="1"/>
  <c r="J55" i="1"/>
  <c r="F55" i="1"/>
  <c r="S54" i="1"/>
  <c r="R54" i="1"/>
  <c r="N54" i="1"/>
  <c r="J54" i="1"/>
  <c r="F54" i="1"/>
  <c r="S53" i="1"/>
  <c r="R53" i="1"/>
  <c r="N53" i="1"/>
  <c r="J53" i="1"/>
  <c r="F53" i="1"/>
  <c r="S52" i="1"/>
  <c r="R52" i="1"/>
  <c r="N52" i="1"/>
  <c r="J52" i="1"/>
  <c r="F52" i="1"/>
  <c r="S51" i="1"/>
  <c r="R51" i="1"/>
  <c r="N51" i="1"/>
  <c r="J51" i="1"/>
  <c r="F51" i="1"/>
  <c r="S50" i="1"/>
  <c r="R50" i="1"/>
  <c r="N50" i="1"/>
  <c r="J50" i="1"/>
  <c r="F50" i="1"/>
  <c r="S49" i="1"/>
  <c r="R49" i="1"/>
  <c r="N49" i="1"/>
  <c r="J49" i="1"/>
  <c r="S48" i="1"/>
  <c r="R48" i="1"/>
  <c r="N48" i="1"/>
  <c r="J48" i="1"/>
  <c r="F48" i="1"/>
  <c r="Q47" i="1"/>
  <c r="P47" i="1"/>
  <c r="O47" i="1"/>
  <c r="M47" i="1"/>
  <c r="L47" i="1"/>
  <c r="K47" i="1"/>
  <c r="I47" i="1"/>
  <c r="H47" i="1"/>
  <c r="G47" i="1"/>
  <c r="E47" i="1"/>
  <c r="D47" i="1"/>
  <c r="C47" i="1"/>
  <c r="S45" i="1"/>
  <c r="R45" i="1"/>
  <c r="N45" i="1"/>
  <c r="J45" i="1"/>
  <c r="F45" i="1"/>
  <c r="S44" i="1"/>
  <c r="R44" i="1"/>
  <c r="N44" i="1"/>
  <c r="J44" i="1"/>
  <c r="F44" i="1"/>
  <c r="S41" i="1"/>
  <c r="R41" i="1"/>
  <c r="N41" i="1"/>
  <c r="J41" i="1"/>
  <c r="F41" i="1"/>
  <c r="S40" i="1"/>
  <c r="R40" i="1"/>
  <c r="N40" i="1"/>
  <c r="J40" i="1"/>
  <c r="F40" i="1"/>
  <c r="S39" i="1"/>
  <c r="R39" i="1"/>
  <c r="N39" i="1"/>
  <c r="J39" i="1"/>
  <c r="F39" i="1"/>
  <c r="S38" i="1"/>
  <c r="R38" i="1"/>
  <c r="N38" i="1"/>
  <c r="J38" i="1"/>
  <c r="F38" i="1"/>
  <c r="S35" i="1"/>
  <c r="R35" i="1"/>
  <c r="N35" i="1"/>
  <c r="J35" i="1"/>
  <c r="F35" i="1"/>
  <c r="S34" i="1"/>
  <c r="R34" i="1"/>
  <c r="N34" i="1"/>
  <c r="J34" i="1"/>
  <c r="F34" i="1"/>
  <c r="R33" i="1"/>
  <c r="N33" i="1"/>
  <c r="J33" i="1"/>
  <c r="F33" i="1"/>
  <c r="R29" i="1"/>
  <c r="N29" i="1"/>
  <c r="J29" i="1"/>
  <c r="F29" i="1"/>
  <c r="S28" i="1"/>
  <c r="R28" i="1"/>
  <c r="N28" i="1"/>
  <c r="J28" i="1"/>
  <c r="F28" i="1"/>
  <c r="S27" i="1"/>
  <c r="R27" i="1"/>
  <c r="N27" i="1"/>
  <c r="J27" i="1"/>
  <c r="F27" i="1"/>
  <c r="S26" i="1"/>
  <c r="R26" i="1"/>
  <c r="N26" i="1"/>
  <c r="J26" i="1"/>
  <c r="F26" i="1"/>
  <c r="S25" i="1"/>
  <c r="R25" i="1"/>
  <c r="N25" i="1"/>
  <c r="J25" i="1"/>
  <c r="F25" i="1"/>
  <c r="S24" i="1"/>
  <c r="R24" i="1"/>
  <c r="N24" i="1"/>
  <c r="J24" i="1"/>
  <c r="F24" i="1"/>
  <c r="R22" i="1"/>
  <c r="N22" i="1"/>
  <c r="J22" i="1"/>
  <c r="S21" i="1"/>
  <c r="R21" i="1"/>
  <c r="N21" i="1"/>
  <c r="J21" i="1"/>
  <c r="F21" i="1"/>
  <c r="R20" i="1"/>
  <c r="N20" i="1"/>
  <c r="J20" i="1"/>
  <c r="F20" i="1"/>
  <c r="R17" i="1"/>
  <c r="R10" i="1" s="1"/>
  <c r="N17" i="1"/>
  <c r="N10" i="1" s="1"/>
  <c r="J17" i="1"/>
  <c r="J10" i="1" s="1"/>
  <c r="F17" i="1"/>
  <c r="F65" i="1" l="1"/>
  <c r="N65" i="1"/>
  <c r="C106" i="1"/>
  <c r="J65" i="1"/>
  <c r="R65" i="1"/>
  <c r="S29" i="1"/>
  <c r="S33" i="1"/>
  <c r="S86" i="1"/>
  <c r="S65" i="1" s="1"/>
  <c r="J91" i="1"/>
  <c r="R98" i="1"/>
  <c r="S22" i="1"/>
  <c r="F103" i="1"/>
  <c r="N91" i="1"/>
  <c r="J96" i="1"/>
  <c r="G98" i="1"/>
  <c r="J98" i="1" s="1"/>
  <c r="F101" i="1"/>
  <c r="F98" i="1" s="1"/>
  <c r="R96" i="1"/>
  <c r="E98" i="1"/>
  <c r="J47" i="1"/>
  <c r="S17" i="1"/>
  <c r="F47" i="1"/>
  <c r="N47" i="1"/>
  <c r="R47" i="1"/>
  <c r="S20" i="1"/>
  <c r="S91" i="1"/>
  <c r="R91" i="1"/>
  <c r="F93" i="1"/>
  <c r="F91" i="1" s="1"/>
  <c r="N96" i="1"/>
  <c r="F96" i="1"/>
  <c r="N98" i="1"/>
  <c r="R102" i="1"/>
  <c r="H106" i="1"/>
  <c r="S47" i="1"/>
  <c r="O106" i="1"/>
  <c r="M106" i="1"/>
  <c r="L106" i="1"/>
  <c r="K106" i="1"/>
  <c r="P106" i="1"/>
  <c r="I106" i="1"/>
  <c r="D106" i="1"/>
  <c r="Q106" i="1"/>
  <c r="S102" i="1"/>
  <c r="S98" i="1" s="1"/>
  <c r="J103" i="1"/>
  <c r="N103" i="1"/>
  <c r="R103" i="1"/>
  <c r="F22" i="1"/>
  <c r="F10" i="1" s="1"/>
  <c r="G106" i="1" l="1"/>
  <c r="S10" i="1"/>
  <c r="E106" i="1"/>
  <c r="J106" i="1"/>
  <c r="S103" i="1"/>
  <c r="F106" i="1"/>
  <c r="N106" i="1"/>
  <c r="R106" i="1"/>
  <c r="S106" i="1" l="1"/>
</calcChain>
</file>

<file path=xl/sharedStrings.xml><?xml version="1.0" encoding="utf-8"?>
<sst xmlns="http://schemas.openxmlformats.org/spreadsheetml/2006/main" count="167" uniqueCount="124">
  <si>
    <t>№ п/п</t>
  </si>
  <si>
    <t>Наименование учреждений</t>
  </si>
  <si>
    <t>ОБРАЗОВАНИЕ, СОШ</t>
  </si>
  <si>
    <t>МОУ Усть-Ордынская СОШ №1</t>
  </si>
  <si>
    <t>МОУ Усть-Ордынская СОШ №2</t>
  </si>
  <si>
    <t>МОУ Усть-Ордынская СОШ  №4</t>
  </si>
  <si>
    <t>МОУ Ахинская средняя школа</t>
  </si>
  <si>
    <t>МОУ Байтогская средняя школа</t>
  </si>
  <si>
    <t>МОУ Харанутская средняя школа</t>
  </si>
  <si>
    <t>МОУ Гаханская средняя школа</t>
  </si>
  <si>
    <t>водокачка</t>
  </si>
  <si>
    <t xml:space="preserve">Мастерская </t>
  </si>
  <si>
    <t>котельная</t>
  </si>
  <si>
    <t>МОУ Бозойская средняя школа</t>
  </si>
  <si>
    <t>МОУ Захальская средняя школа</t>
  </si>
  <si>
    <t xml:space="preserve">МОУ Булусинская средняя школа </t>
  </si>
  <si>
    <t>МОУ Идыгинская средняя школа</t>
  </si>
  <si>
    <t>МОУ Капсальская средняя школа</t>
  </si>
  <si>
    <t>МОУ Корсукская средняя школа</t>
  </si>
  <si>
    <t xml:space="preserve">МОУ Ново-Николаевская средняя школа </t>
  </si>
  <si>
    <t xml:space="preserve">Интернат </t>
  </si>
  <si>
    <t>Столовая</t>
  </si>
  <si>
    <t>МОУ Хабаровская основная школа</t>
  </si>
  <si>
    <t xml:space="preserve">МОУ Олойская средняя школа </t>
  </si>
  <si>
    <t>КСК</t>
  </si>
  <si>
    <t>МОУ Тугутуйская средняя школа</t>
  </si>
  <si>
    <t>МОУ Харатская средняя школа</t>
  </si>
  <si>
    <t>Гараж</t>
  </si>
  <si>
    <t>МОУ Харазаргайская средняя школа</t>
  </si>
  <si>
    <t>ОБРАЗОВАНИЕ, НОШ</t>
  </si>
  <si>
    <t>МОУ Усть-Ордынская начальная школа №1</t>
  </si>
  <si>
    <t>МОУ Больше-Курская начальная школа</t>
  </si>
  <si>
    <t>МОУ Еловская школа-сад</t>
  </si>
  <si>
    <t>МОУ Куядская школа-сад</t>
  </si>
  <si>
    <t>МОУ Захальская школа-сад</t>
  </si>
  <si>
    <t>МОУ Кударейская начальная школа</t>
  </si>
  <si>
    <t>МкОУ Кулункунская начальная школа</t>
  </si>
  <si>
    <t>МОУ Задинская начальная школа</t>
  </si>
  <si>
    <t>МОУ Ишинская начальная школа</t>
  </si>
  <si>
    <t>МОУ Гушитская начальная школа</t>
  </si>
  <si>
    <t>МОУ Шохтойская начальная школа</t>
  </si>
  <si>
    <t>МОУ Муромцовская начальная школа</t>
  </si>
  <si>
    <t>МОУ Баянгазуйская начальная школа</t>
  </si>
  <si>
    <t>МОУ Зун-Булукская школа-сад</t>
  </si>
  <si>
    <t>МОУ Камойская начальная школа</t>
  </si>
  <si>
    <t>МОУ Верхне-Кукутская школа-сад</t>
  </si>
  <si>
    <t>МОУ Кукунутская начальная школа</t>
  </si>
  <si>
    <t>ДОШКОЛЬНОЕ ОБРАЗОВАНИЕ</t>
  </si>
  <si>
    <t>МДОУ детский сад "Аленушка"</t>
  </si>
  <si>
    <t>МДОУ детский сад "Березка"</t>
  </si>
  <si>
    <t>МДОУ детский сад "Колосок"</t>
  </si>
  <si>
    <t>МДОУ детский сад "Туяна"</t>
  </si>
  <si>
    <t>МДОУ детский сад "Елочка"</t>
  </si>
  <si>
    <t>МДОУ детский сад "Солнышко"</t>
  </si>
  <si>
    <t>МДОУ детский сад "Светлячок"</t>
  </si>
  <si>
    <t>МДОУ детский сад "Сказка"</t>
  </si>
  <si>
    <t>МДОУ детский сад " Родничок"</t>
  </si>
  <si>
    <t>МДОУ Байтогский детский сад</t>
  </si>
  <si>
    <t>МДОУ Ахинский детский сад</t>
  </si>
  <si>
    <t>МДОУ Гаханский детский сад</t>
  </si>
  <si>
    <t>МДОУ Бозойский детский сад</t>
  </si>
  <si>
    <t>МДОУ Свердловский детский сад</t>
  </si>
  <si>
    <t>МДОУ Корсукский детский сад "Петушок"</t>
  </si>
  <si>
    <t>МДОУ Ново-Николаевский детский сад</t>
  </si>
  <si>
    <t>МДОУ Олойский детский сад "Огонёк"</t>
  </si>
  <si>
    <t>МДОУ Тугутуйский детский сад "Звёздочка"</t>
  </si>
  <si>
    <t>МДОУ Харатский детский сад</t>
  </si>
  <si>
    <t xml:space="preserve">МДОУ Капсальский детский сад </t>
  </si>
  <si>
    <t>Факт</t>
  </si>
  <si>
    <t>Кол-во, кВт/час</t>
  </si>
  <si>
    <t>кол-во</t>
  </si>
  <si>
    <t>Учреждения дополнительного образования</t>
  </si>
  <si>
    <t>МОУ Детский оздоровительный лагерь "Баяр"</t>
  </si>
  <si>
    <t>МОУ Усть-Ордынская детско-юношеская спортивная школа</t>
  </si>
  <si>
    <t>ФОК</t>
  </si>
  <si>
    <t>МОУ ДОД Дом детского творчества</t>
  </si>
  <si>
    <t>ПРОЧИЕ УЧРЕЖДЕНИЯ ОБРАЗОВАНИЯ</t>
  </si>
  <si>
    <t>Управление образования АМО "Эхирит-Булагатский район"</t>
  </si>
  <si>
    <t>Отдел культуры</t>
  </si>
  <si>
    <t>МУК Эхирит-Булагатская районная библиотека</t>
  </si>
  <si>
    <t>МУК "Эхирит-Булагатский межпоселенческий центр досуга"</t>
  </si>
  <si>
    <t>МОУ ДОД "Усть-Ордынская детская музыкальная школа"</t>
  </si>
  <si>
    <t>МУК Усть-Ордынская детская художественная школа</t>
  </si>
  <si>
    <t xml:space="preserve">ПРОЧИЕ УЧРЕЖДЕНИЯ </t>
  </si>
  <si>
    <t>Администрация района</t>
  </si>
  <si>
    <t>Комитет ЖКХ АМО "Эхирит-Булагатский район"</t>
  </si>
  <si>
    <t>Приложение 1</t>
  </si>
  <si>
    <t>к постановлению мэра</t>
  </si>
  <si>
    <t xml:space="preserve">МОУ Усть-Ордынская ВСОШ </t>
  </si>
  <si>
    <t xml:space="preserve">котельная </t>
  </si>
  <si>
    <t>ЛИМИТЫ ПОТРЕБЛЕНИЯ ЭЛЕКТРОЭНЕРГИИ ПО БЮДЖЕТНЫМ УЧРЕЖДЕНИЯМ ЭХИРИТ-БУЛАГАТСКОГО РАЙОНА НА 2017 ГОД.</t>
  </si>
  <si>
    <t>Январь 2017 Лимит Квт/ч</t>
  </si>
  <si>
    <t>Февраль 2017Лимит Квт/ч</t>
  </si>
  <si>
    <t>март 2017 лимит Квт/ч</t>
  </si>
  <si>
    <t xml:space="preserve">1 квартал 2017 </t>
  </si>
  <si>
    <t>Апр. 2017лимит Квт/ч</t>
  </si>
  <si>
    <t>Май 2017 лимит</t>
  </si>
  <si>
    <t>Июнь 2017 лимит Квт/ч</t>
  </si>
  <si>
    <t>2 Квартал 2017</t>
  </si>
  <si>
    <t>Июль 2017 лимит квт/ч</t>
  </si>
  <si>
    <t>Август 2017 лимит Квт/ч</t>
  </si>
  <si>
    <t>Сентябрь 2017 лимит Квт/ч</t>
  </si>
  <si>
    <t>3 Квартал 2017</t>
  </si>
  <si>
    <t>Октябрь 2017 лимит Квт/ч</t>
  </si>
  <si>
    <t>ноябрь 2017 лимит Квт/ч</t>
  </si>
  <si>
    <t>Декабрь 2017 лимит квт/ч</t>
  </si>
  <si>
    <t>4 Квартал 2017</t>
  </si>
  <si>
    <t>За ГОД 2017</t>
  </si>
  <si>
    <t>НОШ</t>
  </si>
  <si>
    <t xml:space="preserve">прочие </t>
  </si>
  <si>
    <t xml:space="preserve">СОШ </t>
  </si>
  <si>
    <t xml:space="preserve">детск. Сады </t>
  </si>
  <si>
    <t xml:space="preserve">культура </t>
  </si>
  <si>
    <t xml:space="preserve">учрежд.доп. Образования  </t>
  </si>
  <si>
    <t xml:space="preserve">Итого: </t>
  </si>
  <si>
    <t>тепловая энергия</t>
  </si>
  <si>
    <t xml:space="preserve">Наименование </t>
  </si>
  <si>
    <t xml:space="preserve">Годовые лимиты  учреждений района  на 2017 г. </t>
  </si>
  <si>
    <t xml:space="preserve">ком. услуги </t>
  </si>
  <si>
    <t xml:space="preserve">исп. Н.Л.Мишекова </t>
  </si>
  <si>
    <t xml:space="preserve">Председатель Комиета ЖКХ </t>
  </si>
  <si>
    <t xml:space="preserve">Г.Ю. Щербаков </t>
  </si>
  <si>
    <t>МОУ Алужинская СОШ(МДОУ Алужинский детский сад "Золотая рыбка)"</t>
  </si>
  <si>
    <t>от "03" ноября 2017 г. № 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</si>
</sst>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5F95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" fontId="3" fillId="6" borderId="4" xfId="0" applyNumberFormat="1" applyFont="1" applyFill="1" applyBorder="1" applyAlignment="1">
      <alignment horizontal="center" vertical="center"/>
    </xf>
    <xf numFmtId="1" fontId="3" fillId="6" borderId="20" xfId="0" applyNumberFormat="1" applyFont="1" applyFill="1" applyBorder="1" applyAlignment="1">
      <alignment horizontal="center" vertical="center"/>
    </xf>
    <xf numFmtId="1" fontId="3" fillId="6" borderId="2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1" fontId="2" fillId="0" borderId="0" xfId="0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" fontId="3" fillId="6" borderId="29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9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5" xfId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" fontId="3" fillId="4" borderId="28" xfId="0" applyNumberFormat="1" applyFont="1" applyFill="1" applyBorder="1" applyAlignment="1">
      <alignment horizontal="center" vertical="center" wrapText="1"/>
    </xf>
    <xf numFmtId="1" fontId="3" fillId="6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4" fillId="2" borderId="33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/>
    </xf>
    <xf numFmtId="1" fontId="0" fillId="2" borderId="8" xfId="0" applyNumberForma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" fontId="3" fillId="6" borderId="42" xfId="0" applyNumberFormat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17" fontId="0" fillId="2" borderId="2" xfId="0" applyNumberFormat="1" applyFill="1" applyBorder="1" applyAlignment="1">
      <alignment horizontal="center" vertical="center" wrapText="1"/>
    </xf>
    <xf numFmtId="17" fontId="0" fillId="2" borderId="3" xfId="0" applyNumberFormat="1" applyFill="1" applyBorder="1" applyAlignment="1">
      <alignment horizontal="center" vertical="center" wrapText="1"/>
    </xf>
    <xf numFmtId="17" fontId="0" fillId="2" borderId="5" xfId="0" applyNumberFormat="1" applyFill="1" applyBorder="1" applyAlignment="1">
      <alignment horizontal="center" vertical="center" wrapText="1"/>
    </xf>
    <xf numFmtId="17" fontId="2" fillId="2" borderId="2" xfId="0" applyNumberFormat="1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17" fontId="2" fillId="2" borderId="5" xfId="0" applyNumberFormat="1" applyFont="1" applyFill="1" applyBorder="1" applyAlignment="1">
      <alignment horizontal="center" vertical="center" wrapText="1"/>
    </xf>
    <xf numFmtId="17" fontId="0" fillId="2" borderId="22" xfId="0" applyNumberFormat="1" applyFill="1" applyBorder="1" applyAlignment="1">
      <alignment horizontal="center" vertical="center" wrapText="1"/>
    </xf>
    <xf numFmtId="17" fontId="0" fillId="2" borderId="19" xfId="0" applyNumberFormat="1" applyFill="1" applyBorder="1" applyAlignment="1">
      <alignment horizontal="center" vertical="center" wrapText="1"/>
    </xf>
    <xf numFmtId="17" fontId="0" fillId="2" borderId="23" xfId="0" applyNumberForma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17" fontId="0" fillId="2" borderId="26" xfId="0" applyNumberFormat="1" applyFill="1" applyBorder="1" applyAlignment="1">
      <alignment horizontal="center" vertical="center" wrapText="1"/>
    </xf>
    <xf numFmtId="17" fontId="0" fillId="2" borderId="27" xfId="0" applyNumberFormat="1" applyFill="1" applyBorder="1" applyAlignment="1">
      <alignment horizontal="center" vertical="center" wrapText="1"/>
    </xf>
    <xf numFmtId="17" fontId="0" fillId="2" borderId="28" xfId="0" applyNumberFormat="1" applyFill="1" applyBorder="1" applyAlignment="1">
      <alignment horizontal="center" vertical="center" wrapText="1"/>
    </xf>
    <xf numFmtId="17" fontId="0" fillId="2" borderId="40" xfId="0" applyNumberFormat="1" applyFill="1" applyBorder="1" applyAlignment="1">
      <alignment horizontal="center" vertical="center" wrapText="1"/>
    </xf>
    <xf numFmtId="17" fontId="0" fillId="2" borderId="0" xfId="0" applyNumberFormat="1" applyFill="1" applyBorder="1" applyAlignment="1">
      <alignment horizontal="center" vertical="center" wrapText="1"/>
    </xf>
    <xf numFmtId="17" fontId="0" fillId="2" borderId="34" xfId="0" applyNumberFormat="1" applyFill="1" applyBorder="1" applyAlignment="1">
      <alignment horizontal="center" vertical="center" wrapText="1"/>
    </xf>
    <xf numFmtId="17" fontId="2" fillId="2" borderId="7" xfId="0" applyNumberFormat="1" applyFont="1" applyFill="1" applyBorder="1" applyAlignment="1">
      <alignment horizontal="center" vertical="center" wrapText="1"/>
    </xf>
    <xf numFmtId="17" fontId="2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6"/>
  <sheetViews>
    <sheetView tabSelected="1" zoomScale="75" zoomScaleNormal="75" workbookViewId="0">
      <pane ySplit="10" topLeftCell="A11" activePane="bottomLeft" state="frozen"/>
      <selection pane="bottomLeft" activeCell="C21" sqref="C21"/>
    </sheetView>
  </sheetViews>
  <sheetFormatPr defaultRowHeight="15" x14ac:dyDescent="0.25"/>
  <cols>
    <col min="1" max="1" width="5.28515625" customWidth="1"/>
    <col min="2" max="2" width="28.5703125" customWidth="1"/>
    <col min="3" max="3" width="13.5703125" customWidth="1"/>
    <col min="4" max="4" width="11.28515625" customWidth="1"/>
    <col min="5" max="5" width="13.140625" customWidth="1"/>
    <col min="6" max="6" width="10.140625" customWidth="1"/>
    <col min="7" max="7" width="11.7109375" customWidth="1"/>
    <col min="8" max="8" width="12" customWidth="1"/>
    <col min="9" max="9" width="11.5703125" customWidth="1"/>
    <col min="10" max="10" width="8.85546875" customWidth="1"/>
    <col min="11" max="11" width="11.7109375" customWidth="1"/>
    <col min="12" max="12" width="13" customWidth="1"/>
    <col min="13" max="13" width="11.140625" customWidth="1"/>
    <col min="14" max="14" width="10" customWidth="1"/>
    <col min="15" max="15" width="11.42578125" customWidth="1"/>
    <col min="16" max="16" width="11.140625" customWidth="1"/>
    <col min="17" max="17" width="11.5703125" customWidth="1"/>
    <col min="18" max="18" width="12.7109375" customWidth="1"/>
    <col min="19" max="19" width="14.5703125" customWidth="1"/>
    <col min="21" max="21" width="10.7109375" customWidth="1"/>
  </cols>
  <sheetData>
    <row r="1" spans="1:22" x14ac:dyDescent="0.25">
      <c r="P1" s="44" t="s">
        <v>86</v>
      </c>
      <c r="Q1" s="44"/>
      <c r="R1" s="44"/>
      <c r="S1" s="44"/>
      <c r="T1" s="44"/>
      <c r="U1" s="44"/>
      <c r="V1" s="44"/>
    </row>
    <row r="2" spans="1:22" x14ac:dyDescent="0.25">
      <c r="P2" s="44" t="s">
        <v>87</v>
      </c>
      <c r="Q2" s="44"/>
      <c r="R2" s="44"/>
      <c r="S2" s="44"/>
      <c r="T2" s="44"/>
      <c r="U2" s="44"/>
      <c r="V2" s="44"/>
    </row>
    <row r="3" spans="1:22" x14ac:dyDescent="0.25">
      <c r="P3" s="45" t="s">
        <v>123</v>
      </c>
      <c r="Q3" s="45"/>
      <c r="R3" s="45"/>
      <c r="S3" s="45"/>
      <c r="T3" s="45"/>
      <c r="U3" s="45"/>
      <c r="V3" s="45"/>
    </row>
    <row r="4" spans="1:22" s="1" customFormat="1" ht="27" customHeight="1" x14ac:dyDescent="0.25"/>
    <row r="5" spans="1:22" s="1" customFormat="1" x14ac:dyDescent="0.25">
      <c r="C5" s="198" t="s">
        <v>90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</row>
    <row r="6" spans="1:22" s="1" customFormat="1" ht="15.75" thickBot="1" x14ac:dyDescent="0.3">
      <c r="A6" s="85"/>
      <c r="B6" s="85"/>
      <c r="F6" s="25"/>
      <c r="J6" s="25"/>
      <c r="N6" s="25"/>
      <c r="R6" s="25"/>
    </row>
    <row r="7" spans="1:22" s="1" customFormat="1" x14ac:dyDescent="0.25">
      <c r="A7" s="199" t="s">
        <v>0</v>
      </c>
      <c r="B7" s="195" t="s">
        <v>1</v>
      </c>
      <c r="C7" s="202" t="s">
        <v>91</v>
      </c>
      <c r="D7" s="185" t="s">
        <v>92</v>
      </c>
      <c r="E7" s="191" t="s">
        <v>93</v>
      </c>
      <c r="F7" s="188" t="s">
        <v>94</v>
      </c>
      <c r="G7" s="202" t="s">
        <v>95</v>
      </c>
      <c r="H7" s="185" t="s">
        <v>96</v>
      </c>
      <c r="I7" s="185" t="s">
        <v>97</v>
      </c>
      <c r="J7" s="188" t="s">
        <v>98</v>
      </c>
      <c r="K7" s="185" t="s">
        <v>99</v>
      </c>
      <c r="L7" s="185" t="s">
        <v>100</v>
      </c>
      <c r="M7" s="185" t="s">
        <v>101</v>
      </c>
      <c r="N7" s="188" t="s">
        <v>102</v>
      </c>
      <c r="O7" s="191" t="s">
        <v>103</v>
      </c>
      <c r="P7" s="185" t="s">
        <v>104</v>
      </c>
      <c r="Q7" s="205" t="s">
        <v>105</v>
      </c>
      <c r="R7" s="208" t="s">
        <v>106</v>
      </c>
      <c r="S7" s="182" t="s">
        <v>107</v>
      </c>
      <c r="T7" s="27"/>
    </row>
    <row r="8" spans="1:22" s="1" customFormat="1" x14ac:dyDescent="0.25">
      <c r="A8" s="200"/>
      <c r="B8" s="196"/>
      <c r="C8" s="203"/>
      <c r="D8" s="186"/>
      <c r="E8" s="192"/>
      <c r="F8" s="189"/>
      <c r="G8" s="203"/>
      <c r="H8" s="186"/>
      <c r="I8" s="186"/>
      <c r="J8" s="189"/>
      <c r="K8" s="186"/>
      <c r="L8" s="186"/>
      <c r="M8" s="186"/>
      <c r="N8" s="189"/>
      <c r="O8" s="192"/>
      <c r="P8" s="186"/>
      <c r="Q8" s="206"/>
      <c r="R8" s="209"/>
      <c r="S8" s="183"/>
      <c r="T8" s="27"/>
    </row>
    <row r="9" spans="1:22" s="1" customFormat="1" x14ac:dyDescent="0.25">
      <c r="A9" s="201"/>
      <c r="B9" s="197"/>
      <c r="C9" s="204"/>
      <c r="D9" s="187"/>
      <c r="E9" s="193"/>
      <c r="F9" s="190"/>
      <c r="G9" s="204"/>
      <c r="H9" s="187"/>
      <c r="I9" s="187"/>
      <c r="J9" s="190"/>
      <c r="K9" s="187"/>
      <c r="L9" s="187"/>
      <c r="M9" s="187"/>
      <c r="N9" s="190"/>
      <c r="O9" s="193"/>
      <c r="P9" s="187"/>
      <c r="Q9" s="207"/>
      <c r="R9" s="209"/>
      <c r="S9" s="184"/>
      <c r="T9" s="27"/>
    </row>
    <row r="10" spans="1:22" s="1" customFormat="1" x14ac:dyDescent="0.25">
      <c r="A10" s="86"/>
      <c r="B10" s="87" t="s">
        <v>2</v>
      </c>
      <c r="C10" s="83">
        <f t="shared" ref="C10:R10" si="0">C11+C12+C13+C14+C15+C16+C17+C20+C21+C22+C24+C25+C26+C27+C28+C33+C29+C34+C35+C38+C39+C40+C41+C44+C45+C46</f>
        <v>561523</v>
      </c>
      <c r="D10" s="26">
        <f t="shared" si="0"/>
        <v>565344</v>
      </c>
      <c r="E10" s="26">
        <f t="shared" si="0"/>
        <v>468712</v>
      </c>
      <c r="F10" s="26">
        <f t="shared" si="0"/>
        <v>1595579</v>
      </c>
      <c r="G10" s="26">
        <f t="shared" si="0"/>
        <v>351684</v>
      </c>
      <c r="H10" s="26">
        <f t="shared" si="0"/>
        <v>161296</v>
      </c>
      <c r="I10" s="26">
        <f t="shared" si="0"/>
        <v>61620</v>
      </c>
      <c r="J10" s="26">
        <f t="shared" si="0"/>
        <v>574600</v>
      </c>
      <c r="K10" s="26">
        <f t="shared" si="0"/>
        <v>11800</v>
      </c>
      <c r="L10" s="26">
        <f t="shared" si="0"/>
        <v>16271</v>
      </c>
      <c r="M10" s="79">
        <f t="shared" si="0"/>
        <v>158189</v>
      </c>
      <c r="N10" s="79">
        <f t="shared" si="0"/>
        <v>186260</v>
      </c>
      <c r="O10" s="80">
        <f t="shared" si="0"/>
        <v>328046</v>
      </c>
      <c r="P10" s="79">
        <f t="shared" si="0"/>
        <v>448750</v>
      </c>
      <c r="Q10" s="113">
        <f t="shared" si="0"/>
        <v>594637</v>
      </c>
      <c r="R10" s="79">
        <f t="shared" si="0"/>
        <v>1371433</v>
      </c>
      <c r="S10" s="83">
        <f>S11+S12+S13+S14+S15+S16+S17+S20+S21+S22+S24+S25+S26+S27+S28+S29+S33+S34+S35+S40+S44+S45+S46</f>
        <v>3344577</v>
      </c>
    </row>
    <row r="11" spans="1:22" s="1" customFormat="1" ht="25.5" x14ac:dyDescent="0.25">
      <c r="A11" s="88">
        <v>1</v>
      </c>
      <c r="B11" s="89" t="s">
        <v>3</v>
      </c>
      <c r="C11" s="38">
        <v>17000</v>
      </c>
      <c r="D11" s="74">
        <v>19000</v>
      </c>
      <c r="E11" s="32">
        <v>18000</v>
      </c>
      <c r="F11" s="9">
        <f>E11+D11+C11</f>
        <v>54000</v>
      </c>
      <c r="G11" s="38">
        <v>12000</v>
      </c>
      <c r="H11" s="74">
        <v>10000</v>
      </c>
      <c r="I11" s="74">
        <v>6500</v>
      </c>
      <c r="J11" s="9">
        <f>I11+H11+G11</f>
        <v>28500</v>
      </c>
      <c r="K11" s="74">
        <v>1300</v>
      </c>
      <c r="L11" s="74">
        <v>1100</v>
      </c>
      <c r="M11" s="67">
        <v>9400</v>
      </c>
      <c r="N11" s="9">
        <f>M11+L11+K11</f>
        <v>11800</v>
      </c>
      <c r="O11" s="69">
        <v>15200</v>
      </c>
      <c r="P11" s="67">
        <v>18000</v>
      </c>
      <c r="Q11" s="114">
        <f>19500+3351</f>
        <v>22851</v>
      </c>
      <c r="R11" s="9">
        <f>Q11+P11+O11</f>
        <v>56051</v>
      </c>
      <c r="S11" s="108">
        <f>R11+N11+J11+F11</f>
        <v>150351</v>
      </c>
    </row>
    <row r="12" spans="1:22" s="1" customFormat="1" ht="25.5" x14ac:dyDescent="0.25">
      <c r="A12" s="88">
        <v>2</v>
      </c>
      <c r="B12" s="89" t="s">
        <v>4</v>
      </c>
      <c r="C12" s="38">
        <v>18000</v>
      </c>
      <c r="D12" s="74">
        <v>19400</v>
      </c>
      <c r="E12" s="32">
        <v>18700</v>
      </c>
      <c r="F12" s="9">
        <f t="shared" ref="F12:F16" si="1">E12+D12+C12</f>
        <v>56100</v>
      </c>
      <c r="G12" s="38">
        <v>13900</v>
      </c>
      <c r="H12" s="74">
        <v>11100</v>
      </c>
      <c r="I12" s="74">
        <v>6000</v>
      </c>
      <c r="J12" s="9">
        <f t="shared" ref="J12:J16" si="2">I12+H12+G12</f>
        <v>31000</v>
      </c>
      <c r="K12" s="74">
        <v>1700</v>
      </c>
      <c r="L12" s="74">
        <v>2400</v>
      </c>
      <c r="M12" s="74">
        <v>14800</v>
      </c>
      <c r="N12" s="9">
        <f t="shared" ref="N12:N16" si="3">M12+L12+K12</f>
        <v>18900</v>
      </c>
      <c r="O12" s="139">
        <f>16600+83</f>
        <v>16683</v>
      </c>
      <c r="P12" s="74">
        <v>18300</v>
      </c>
      <c r="Q12" s="106">
        <v>21900</v>
      </c>
      <c r="R12" s="9">
        <f t="shared" ref="R12:R16" si="4">Q12+P12+O12</f>
        <v>56883</v>
      </c>
      <c r="S12" s="108">
        <f t="shared" ref="S12:S16" si="5">R12+N12+J12+F12</f>
        <v>162883</v>
      </c>
    </row>
    <row r="13" spans="1:22" s="1" customFormat="1" ht="25.5" x14ac:dyDescent="0.25">
      <c r="A13" s="88">
        <v>3</v>
      </c>
      <c r="B13" s="89" t="s">
        <v>5</v>
      </c>
      <c r="C13" s="38">
        <v>9000</v>
      </c>
      <c r="D13" s="74">
        <v>9000</v>
      </c>
      <c r="E13" s="32">
        <v>8000</v>
      </c>
      <c r="F13" s="9">
        <f t="shared" si="1"/>
        <v>26000</v>
      </c>
      <c r="G13" s="38">
        <v>5000</v>
      </c>
      <c r="H13" s="74">
        <v>3500</v>
      </c>
      <c r="I13" s="74">
        <v>2200</v>
      </c>
      <c r="J13" s="9">
        <f t="shared" si="2"/>
        <v>10700</v>
      </c>
      <c r="K13" s="74">
        <v>500</v>
      </c>
      <c r="L13" s="74">
        <f>500+856</f>
        <v>1356</v>
      </c>
      <c r="M13" s="74">
        <v>4100</v>
      </c>
      <c r="N13" s="9">
        <f t="shared" si="3"/>
        <v>5956</v>
      </c>
      <c r="O13" s="32">
        <v>7500</v>
      </c>
      <c r="P13" s="74">
        <v>8700</v>
      </c>
      <c r="Q13" s="106">
        <v>12400</v>
      </c>
      <c r="R13" s="9">
        <f t="shared" si="4"/>
        <v>28600</v>
      </c>
      <c r="S13" s="108">
        <f t="shared" si="5"/>
        <v>71256</v>
      </c>
    </row>
    <row r="14" spans="1:22" s="1" customFormat="1" ht="27.75" customHeight="1" x14ac:dyDescent="0.25">
      <c r="A14" s="88">
        <v>4</v>
      </c>
      <c r="B14" s="89" t="s">
        <v>6</v>
      </c>
      <c r="C14" s="38">
        <v>68400</v>
      </c>
      <c r="D14" s="74">
        <v>75300</v>
      </c>
      <c r="E14" s="32">
        <v>49000</v>
      </c>
      <c r="F14" s="9">
        <f t="shared" si="1"/>
        <v>192700</v>
      </c>
      <c r="G14" s="38">
        <v>47200</v>
      </c>
      <c r="H14" s="74">
        <v>14700</v>
      </c>
      <c r="I14" s="74">
        <v>4700</v>
      </c>
      <c r="J14" s="9">
        <f t="shared" si="2"/>
        <v>66600</v>
      </c>
      <c r="K14" s="74">
        <v>2000</v>
      </c>
      <c r="L14" s="74">
        <v>1700</v>
      </c>
      <c r="M14" s="74">
        <v>7000</v>
      </c>
      <c r="N14" s="9">
        <f t="shared" si="3"/>
        <v>10700</v>
      </c>
      <c r="O14" s="32">
        <v>23000</v>
      </c>
      <c r="P14" s="74">
        <v>49000</v>
      </c>
      <c r="Q14" s="106">
        <v>68000</v>
      </c>
      <c r="R14" s="9">
        <f t="shared" si="4"/>
        <v>140000</v>
      </c>
      <c r="S14" s="108">
        <f t="shared" si="5"/>
        <v>410000</v>
      </c>
    </row>
    <row r="15" spans="1:22" s="1" customFormat="1" ht="25.5" x14ac:dyDescent="0.25">
      <c r="A15" s="88">
        <v>5</v>
      </c>
      <c r="B15" s="89" t="s">
        <v>7</v>
      </c>
      <c r="C15" s="38">
        <v>73000</v>
      </c>
      <c r="D15" s="74">
        <v>75800</v>
      </c>
      <c r="E15" s="32">
        <v>47800</v>
      </c>
      <c r="F15" s="9">
        <f t="shared" si="1"/>
        <v>196600</v>
      </c>
      <c r="G15" s="38">
        <v>29000</v>
      </c>
      <c r="H15" s="74">
        <v>14000</v>
      </c>
      <c r="I15" s="74">
        <v>4400</v>
      </c>
      <c r="J15" s="9">
        <f t="shared" si="2"/>
        <v>47400</v>
      </c>
      <c r="K15" s="74">
        <v>500</v>
      </c>
      <c r="L15" s="74">
        <v>500</v>
      </c>
      <c r="M15" s="74">
        <v>5300</v>
      </c>
      <c r="N15" s="9">
        <f t="shared" si="3"/>
        <v>6300</v>
      </c>
      <c r="O15" s="32">
        <v>28000</v>
      </c>
      <c r="P15" s="74">
        <v>58000</v>
      </c>
      <c r="Q15" s="106">
        <v>73000</v>
      </c>
      <c r="R15" s="9">
        <f t="shared" si="4"/>
        <v>159000</v>
      </c>
      <c r="S15" s="108">
        <f>F15+J15+N15+R15</f>
        <v>409300</v>
      </c>
    </row>
    <row r="16" spans="1:22" s="1" customFormat="1" ht="25.5" x14ac:dyDescent="0.25">
      <c r="A16" s="88">
        <v>6</v>
      </c>
      <c r="B16" s="89" t="s">
        <v>8</v>
      </c>
      <c r="C16" s="38">
        <v>16500</v>
      </c>
      <c r="D16" s="74">
        <v>16500</v>
      </c>
      <c r="E16" s="32">
        <v>17000</v>
      </c>
      <c r="F16" s="9">
        <f t="shared" si="1"/>
        <v>50000</v>
      </c>
      <c r="G16" s="38">
        <v>15100</v>
      </c>
      <c r="H16" s="74">
        <v>11300</v>
      </c>
      <c r="I16" s="74">
        <v>6700</v>
      </c>
      <c r="J16" s="9">
        <f t="shared" si="2"/>
        <v>33100</v>
      </c>
      <c r="K16" s="74">
        <v>300</v>
      </c>
      <c r="L16" s="74">
        <f>300+30</f>
        <v>330</v>
      </c>
      <c r="M16" s="74">
        <v>12200</v>
      </c>
      <c r="N16" s="71">
        <f t="shared" si="3"/>
        <v>12830</v>
      </c>
      <c r="O16" s="32">
        <v>17000</v>
      </c>
      <c r="P16" s="74">
        <v>16600</v>
      </c>
      <c r="Q16" s="106">
        <v>17900</v>
      </c>
      <c r="R16" s="9">
        <f t="shared" si="4"/>
        <v>51500</v>
      </c>
      <c r="S16" s="108">
        <f t="shared" si="5"/>
        <v>147430</v>
      </c>
    </row>
    <row r="17" spans="1:19" s="1" customFormat="1" ht="27" customHeight="1" x14ac:dyDescent="0.25">
      <c r="A17" s="159">
        <v>7</v>
      </c>
      <c r="B17" s="89" t="s">
        <v>9</v>
      </c>
      <c r="C17" s="162">
        <v>8600</v>
      </c>
      <c r="D17" s="150">
        <v>9100</v>
      </c>
      <c r="E17" s="165">
        <v>7050</v>
      </c>
      <c r="F17" s="153">
        <f>C17+D17+E17</f>
        <v>24750</v>
      </c>
      <c r="G17" s="162">
        <v>4200</v>
      </c>
      <c r="H17" s="150">
        <v>2310</v>
      </c>
      <c r="I17" s="150">
        <v>1500</v>
      </c>
      <c r="J17" s="153">
        <f>G17+H17+I17</f>
        <v>8010</v>
      </c>
      <c r="K17" s="150">
        <v>300</v>
      </c>
      <c r="L17" s="150">
        <v>300</v>
      </c>
      <c r="M17" s="150">
        <v>2900</v>
      </c>
      <c r="N17" s="153">
        <f>K17+L17+M17</f>
        <v>3500</v>
      </c>
      <c r="O17" s="165">
        <v>6300</v>
      </c>
      <c r="P17" s="150">
        <v>7900</v>
      </c>
      <c r="Q17" s="172">
        <v>10600</v>
      </c>
      <c r="R17" s="176">
        <f t="shared" ref="R17:R28" si="6">O17+P17+Q17</f>
        <v>24800</v>
      </c>
      <c r="S17" s="156">
        <f>F17+J17+N17+R17</f>
        <v>61060</v>
      </c>
    </row>
    <row r="18" spans="1:19" s="1" customFormat="1" x14ac:dyDescent="0.25">
      <c r="A18" s="160"/>
      <c r="B18" s="90" t="s">
        <v>10</v>
      </c>
      <c r="C18" s="163"/>
      <c r="D18" s="151"/>
      <c r="E18" s="166"/>
      <c r="F18" s="154"/>
      <c r="G18" s="163"/>
      <c r="H18" s="151"/>
      <c r="I18" s="151"/>
      <c r="J18" s="154"/>
      <c r="K18" s="151"/>
      <c r="L18" s="151"/>
      <c r="M18" s="151"/>
      <c r="N18" s="154"/>
      <c r="O18" s="166"/>
      <c r="P18" s="151"/>
      <c r="Q18" s="173"/>
      <c r="R18" s="176"/>
      <c r="S18" s="157"/>
    </row>
    <row r="19" spans="1:19" s="1" customFormat="1" x14ac:dyDescent="0.25">
      <c r="A19" s="160"/>
      <c r="B19" s="91" t="s">
        <v>11</v>
      </c>
      <c r="C19" s="164"/>
      <c r="D19" s="152"/>
      <c r="E19" s="167"/>
      <c r="F19" s="155"/>
      <c r="G19" s="164"/>
      <c r="H19" s="152"/>
      <c r="I19" s="152"/>
      <c r="J19" s="155"/>
      <c r="K19" s="152"/>
      <c r="L19" s="152"/>
      <c r="M19" s="152"/>
      <c r="N19" s="155"/>
      <c r="O19" s="167"/>
      <c r="P19" s="152"/>
      <c r="Q19" s="174"/>
      <c r="R19" s="176"/>
      <c r="S19" s="158"/>
    </row>
    <row r="20" spans="1:19" s="1" customFormat="1" x14ac:dyDescent="0.25">
      <c r="A20" s="161"/>
      <c r="B20" s="90" t="s">
        <v>12</v>
      </c>
      <c r="C20" s="38">
        <v>8600</v>
      </c>
      <c r="D20" s="74">
        <v>7800</v>
      </c>
      <c r="E20" s="32">
        <v>8600</v>
      </c>
      <c r="F20" s="9">
        <f>C20+D20+E20</f>
        <v>25000</v>
      </c>
      <c r="G20" s="38">
        <v>7900</v>
      </c>
      <c r="H20" s="74">
        <v>3400</v>
      </c>
      <c r="I20" s="74">
        <v>0</v>
      </c>
      <c r="J20" s="9">
        <f>G20+H20+I20</f>
        <v>11300</v>
      </c>
      <c r="K20" s="74">
        <v>0</v>
      </c>
      <c r="L20" s="74">
        <v>0</v>
      </c>
      <c r="M20" s="74">
        <v>3700</v>
      </c>
      <c r="N20" s="9">
        <f>M20</f>
        <v>3700</v>
      </c>
      <c r="O20" s="32">
        <v>8600</v>
      </c>
      <c r="P20" s="74">
        <v>7200</v>
      </c>
      <c r="Q20" s="106">
        <v>8600</v>
      </c>
      <c r="R20" s="9">
        <f t="shared" si="6"/>
        <v>24400</v>
      </c>
      <c r="S20" s="108">
        <f>F20+J20+N20+R20</f>
        <v>64400</v>
      </c>
    </row>
    <row r="21" spans="1:19" s="1" customFormat="1" ht="26.25" customHeight="1" x14ac:dyDescent="0.25">
      <c r="A21" s="88">
        <v>8</v>
      </c>
      <c r="B21" s="89" t="s">
        <v>13</v>
      </c>
      <c r="C21" s="38">
        <v>10100</v>
      </c>
      <c r="D21" s="66">
        <v>10000</v>
      </c>
      <c r="E21" s="32">
        <v>9800</v>
      </c>
      <c r="F21" s="9">
        <f>C21+D21+E21</f>
        <v>29900</v>
      </c>
      <c r="G21" s="72">
        <v>7900</v>
      </c>
      <c r="H21" s="66">
        <v>4200</v>
      </c>
      <c r="I21" s="74">
        <v>1100</v>
      </c>
      <c r="J21" s="9">
        <f>G21+H21+I21</f>
        <v>13200</v>
      </c>
      <c r="K21" s="66">
        <v>300</v>
      </c>
      <c r="L21" s="66">
        <v>300</v>
      </c>
      <c r="M21" s="66">
        <v>4500</v>
      </c>
      <c r="N21" s="70">
        <f>K21+L21+M21</f>
        <v>5100</v>
      </c>
      <c r="O21" s="68">
        <v>8000</v>
      </c>
      <c r="P21" s="74">
        <v>8500</v>
      </c>
      <c r="Q21" s="106">
        <v>10000</v>
      </c>
      <c r="R21" s="9">
        <f t="shared" si="6"/>
        <v>26500</v>
      </c>
      <c r="S21" s="108">
        <f t="shared" ref="S21:S74" si="7">C21+D21+E21+G21+H21+I21+K21+L21+M21+O21+P21+Q21</f>
        <v>74700</v>
      </c>
    </row>
    <row r="22" spans="1:19" s="1" customFormat="1" ht="25.5" customHeight="1" x14ac:dyDescent="0.25">
      <c r="A22" s="159">
        <v>9</v>
      </c>
      <c r="B22" s="92" t="s">
        <v>14</v>
      </c>
      <c r="C22" s="162">
        <v>9000</v>
      </c>
      <c r="D22" s="150">
        <v>4000</v>
      </c>
      <c r="E22" s="166">
        <v>4000</v>
      </c>
      <c r="F22" s="154">
        <f>C22+D22+E22</f>
        <v>17000</v>
      </c>
      <c r="G22" s="162">
        <v>900</v>
      </c>
      <c r="H22" s="171">
        <v>900</v>
      </c>
      <c r="I22" s="171">
        <v>900</v>
      </c>
      <c r="J22" s="153">
        <f>G22+H22+I22</f>
        <v>2700</v>
      </c>
      <c r="K22" s="171">
        <v>300</v>
      </c>
      <c r="L22" s="150">
        <v>300</v>
      </c>
      <c r="M22" s="178">
        <f>3400+24</f>
        <v>3424</v>
      </c>
      <c r="N22" s="179">
        <f>K22+L22+M22</f>
        <v>4024</v>
      </c>
      <c r="O22" s="181">
        <f>3700+15</f>
        <v>3715</v>
      </c>
      <c r="P22" s="150">
        <v>4700</v>
      </c>
      <c r="Q22" s="172">
        <v>7000</v>
      </c>
      <c r="R22" s="176">
        <f t="shared" si="6"/>
        <v>15415</v>
      </c>
      <c r="S22" s="156">
        <f t="shared" si="7"/>
        <v>39139</v>
      </c>
    </row>
    <row r="23" spans="1:19" s="1" customFormat="1" x14ac:dyDescent="0.25">
      <c r="A23" s="160"/>
      <c r="B23" s="93" t="s">
        <v>10</v>
      </c>
      <c r="C23" s="164"/>
      <c r="D23" s="152"/>
      <c r="E23" s="167"/>
      <c r="F23" s="155"/>
      <c r="G23" s="164"/>
      <c r="H23" s="171"/>
      <c r="I23" s="171"/>
      <c r="J23" s="155"/>
      <c r="K23" s="171"/>
      <c r="L23" s="152"/>
      <c r="M23" s="178"/>
      <c r="N23" s="180"/>
      <c r="O23" s="181"/>
      <c r="P23" s="152"/>
      <c r="Q23" s="174"/>
      <c r="R23" s="176"/>
      <c r="S23" s="158"/>
    </row>
    <row r="24" spans="1:19" s="1" customFormat="1" ht="25.5" x14ac:dyDescent="0.25">
      <c r="A24" s="88">
        <v>10</v>
      </c>
      <c r="B24" s="89" t="s">
        <v>15</v>
      </c>
      <c r="C24" s="38">
        <v>12250</v>
      </c>
      <c r="D24" s="74">
        <v>13300</v>
      </c>
      <c r="E24" s="32">
        <v>11000</v>
      </c>
      <c r="F24" s="9">
        <f t="shared" ref="F24:F28" si="8">C24+D24+E24</f>
        <v>36550</v>
      </c>
      <c r="G24" s="38">
        <v>11800</v>
      </c>
      <c r="H24" s="74">
        <v>7350</v>
      </c>
      <c r="I24" s="74">
        <v>5800</v>
      </c>
      <c r="J24" s="9">
        <f t="shared" ref="J24:J27" si="9">G24+H24+I24</f>
        <v>24950</v>
      </c>
      <c r="K24" s="74">
        <v>500</v>
      </c>
      <c r="L24" s="74">
        <v>500</v>
      </c>
      <c r="M24" s="78">
        <f>5500+1470</f>
        <v>6970</v>
      </c>
      <c r="N24" s="9">
        <f>K24+L24+M24</f>
        <v>7970</v>
      </c>
      <c r="O24" s="32">
        <v>11000</v>
      </c>
      <c r="P24" s="74">
        <v>12100</v>
      </c>
      <c r="Q24" s="106">
        <v>19500</v>
      </c>
      <c r="R24" s="9">
        <f t="shared" si="6"/>
        <v>42600</v>
      </c>
      <c r="S24" s="108">
        <f t="shared" si="7"/>
        <v>112070</v>
      </c>
    </row>
    <row r="25" spans="1:19" s="1" customFormat="1" ht="25.5" x14ac:dyDescent="0.25">
      <c r="A25" s="88">
        <v>11</v>
      </c>
      <c r="B25" s="89" t="s">
        <v>16</v>
      </c>
      <c r="C25" s="38">
        <v>84700</v>
      </c>
      <c r="D25" s="74">
        <v>80200</v>
      </c>
      <c r="E25" s="32">
        <v>51800</v>
      </c>
      <c r="F25" s="9">
        <f t="shared" si="8"/>
        <v>216700</v>
      </c>
      <c r="G25" s="38">
        <v>38000</v>
      </c>
      <c r="H25" s="74">
        <v>8000</v>
      </c>
      <c r="I25" s="74">
        <v>2000</v>
      </c>
      <c r="J25" s="9">
        <f t="shared" si="9"/>
        <v>48000</v>
      </c>
      <c r="K25" s="74">
        <v>300</v>
      </c>
      <c r="L25" s="74">
        <v>300</v>
      </c>
      <c r="M25" s="74">
        <v>7500</v>
      </c>
      <c r="N25" s="9">
        <f>K25+L25+M25</f>
        <v>8100</v>
      </c>
      <c r="O25" s="32">
        <v>34600</v>
      </c>
      <c r="P25" s="74">
        <v>52000</v>
      </c>
      <c r="Q25" s="106">
        <v>84000</v>
      </c>
      <c r="R25" s="9">
        <f t="shared" si="6"/>
        <v>170600</v>
      </c>
      <c r="S25" s="108">
        <f t="shared" si="7"/>
        <v>443400</v>
      </c>
    </row>
    <row r="26" spans="1:19" s="1" customFormat="1" ht="25.5" x14ac:dyDescent="0.25">
      <c r="A26" s="88">
        <v>12</v>
      </c>
      <c r="B26" s="89" t="s">
        <v>17</v>
      </c>
      <c r="C26" s="38">
        <v>65500</v>
      </c>
      <c r="D26" s="74">
        <v>67200</v>
      </c>
      <c r="E26" s="32">
        <v>70000</v>
      </c>
      <c r="F26" s="9">
        <f t="shared" si="8"/>
        <v>202700</v>
      </c>
      <c r="G26" s="38">
        <v>50000</v>
      </c>
      <c r="H26" s="74">
        <v>10000</v>
      </c>
      <c r="I26" s="74">
        <v>2000</v>
      </c>
      <c r="J26" s="9">
        <f t="shared" si="9"/>
        <v>62000</v>
      </c>
      <c r="K26" s="74">
        <v>300</v>
      </c>
      <c r="L26" s="74">
        <f>300+135</f>
        <v>435</v>
      </c>
      <c r="M26" s="78">
        <f>9000+2875</f>
        <v>11875</v>
      </c>
      <c r="N26" s="9">
        <f t="shared" ref="N26:N28" si="10">K26+L26+M26</f>
        <v>12610</v>
      </c>
      <c r="O26" s="32">
        <v>35000</v>
      </c>
      <c r="P26" s="74">
        <v>45000</v>
      </c>
      <c r="Q26" s="106">
        <v>65000</v>
      </c>
      <c r="R26" s="9">
        <f t="shared" si="6"/>
        <v>145000</v>
      </c>
      <c r="S26" s="108">
        <f t="shared" si="7"/>
        <v>422310</v>
      </c>
    </row>
    <row r="27" spans="1:19" s="1" customFormat="1" ht="25.5" x14ac:dyDescent="0.25">
      <c r="A27" s="159">
        <v>13</v>
      </c>
      <c r="B27" s="89" t="s">
        <v>18</v>
      </c>
      <c r="C27" s="38">
        <v>4000</v>
      </c>
      <c r="D27" s="74">
        <v>4500</v>
      </c>
      <c r="E27" s="32">
        <v>4700</v>
      </c>
      <c r="F27" s="9">
        <f t="shared" si="8"/>
        <v>13200</v>
      </c>
      <c r="G27" s="38">
        <v>3000</v>
      </c>
      <c r="H27" s="74">
        <v>2500</v>
      </c>
      <c r="I27" s="74">
        <v>1800</v>
      </c>
      <c r="J27" s="9">
        <f t="shared" si="9"/>
        <v>7300</v>
      </c>
      <c r="K27" s="74">
        <v>500</v>
      </c>
      <c r="L27" s="74">
        <v>300</v>
      </c>
      <c r="M27" s="74">
        <v>3800</v>
      </c>
      <c r="N27" s="9">
        <f t="shared" si="10"/>
        <v>4600</v>
      </c>
      <c r="O27" s="32">
        <v>4800</v>
      </c>
      <c r="P27" s="74">
        <v>4100</v>
      </c>
      <c r="Q27" s="106">
        <v>5500</v>
      </c>
      <c r="R27" s="9">
        <f t="shared" si="6"/>
        <v>14400</v>
      </c>
      <c r="S27" s="108">
        <f t="shared" si="7"/>
        <v>39500</v>
      </c>
    </row>
    <row r="28" spans="1:19" s="1" customFormat="1" x14ac:dyDescent="0.25">
      <c r="A28" s="161"/>
      <c r="B28" s="93" t="s">
        <v>12</v>
      </c>
      <c r="C28" s="38">
        <v>5800</v>
      </c>
      <c r="D28" s="67">
        <v>5300</v>
      </c>
      <c r="E28" s="69">
        <v>5800</v>
      </c>
      <c r="F28" s="9">
        <f t="shared" si="8"/>
        <v>16900</v>
      </c>
      <c r="G28" s="73">
        <v>5600</v>
      </c>
      <c r="H28" s="67">
        <v>2900</v>
      </c>
      <c r="I28" s="67">
        <v>0</v>
      </c>
      <c r="J28" s="71">
        <f>G28+H28+I28</f>
        <v>8500</v>
      </c>
      <c r="K28" s="67">
        <v>0</v>
      </c>
      <c r="L28" s="67">
        <v>0</v>
      </c>
      <c r="M28" s="74">
        <v>2800</v>
      </c>
      <c r="N28" s="9">
        <f t="shared" si="10"/>
        <v>2800</v>
      </c>
      <c r="O28" s="32">
        <v>5800</v>
      </c>
      <c r="P28" s="74">
        <v>5600</v>
      </c>
      <c r="Q28" s="106">
        <v>5800</v>
      </c>
      <c r="R28" s="9">
        <f t="shared" si="6"/>
        <v>17200</v>
      </c>
      <c r="S28" s="108">
        <f t="shared" si="7"/>
        <v>45400</v>
      </c>
    </row>
    <row r="29" spans="1:19" s="1" customFormat="1" ht="25.5" x14ac:dyDescent="0.25">
      <c r="A29" s="159">
        <v>14</v>
      </c>
      <c r="B29" s="92" t="s">
        <v>19</v>
      </c>
      <c r="C29" s="162">
        <v>3500</v>
      </c>
      <c r="D29" s="171">
        <v>3200</v>
      </c>
      <c r="E29" s="165">
        <v>3000</v>
      </c>
      <c r="F29" s="153">
        <f>C29+D29+E29</f>
        <v>9700</v>
      </c>
      <c r="G29" s="162">
        <v>2600</v>
      </c>
      <c r="H29" s="150">
        <v>1800</v>
      </c>
      <c r="I29" s="150">
        <v>900</v>
      </c>
      <c r="J29" s="153">
        <f>G29+H29+I29</f>
        <v>5300</v>
      </c>
      <c r="K29" s="150">
        <v>100</v>
      </c>
      <c r="L29" s="150">
        <v>100</v>
      </c>
      <c r="M29" s="150">
        <v>1600</v>
      </c>
      <c r="N29" s="153">
        <f>K29+L29+M29</f>
        <v>1800</v>
      </c>
      <c r="O29" s="165">
        <v>2330</v>
      </c>
      <c r="P29" s="150">
        <v>2500</v>
      </c>
      <c r="Q29" s="172">
        <v>5000</v>
      </c>
      <c r="R29" s="176">
        <f>O29+P29+Q29</f>
        <v>9830</v>
      </c>
      <c r="S29" s="156">
        <f>F29+J29+N29+R29</f>
        <v>26630</v>
      </c>
    </row>
    <row r="30" spans="1:19" s="1" customFormat="1" x14ac:dyDescent="0.25">
      <c r="A30" s="160"/>
      <c r="B30" s="89" t="s">
        <v>20</v>
      </c>
      <c r="C30" s="163"/>
      <c r="D30" s="171"/>
      <c r="E30" s="166"/>
      <c r="F30" s="154"/>
      <c r="G30" s="163"/>
      <c r="H30" s="151"/>
      <c r="I30" s="151"/>
      <c r="J30" s="154"/>
      <c r="K30" s="151"/>
      <c r="L30" s="151"/>
      <c r="M30" s="151"/>
      <c r="N30" s="154"/>
      <c r="O30" s="166"/>
      <c r="P30" s="151"/>
      <c r="Q30" s="173"/>
      <c r="R30" s="176"/>
      <c r="S30" s="157"/>
    </row>
    <row r="31" spans="1:19" s="1" customFormat="1" x14ac:dyDescent="0.25">
      <c r="A31" s="160"/>
      <c r="B31" s="89" t="s">
        <v>11</v>
      </c>
      <c r="C31" s="163"/>
      <c r="D31" s="171"/>
      <c r="E31" s="166"/>
      <c r="F31" s="154"/>
      <c r="G31" s="163"/>
      <c r="H31" s="151"/>
      <c r="I31" s="151"/>
      <c r="J31" s="154"/>
      <c r="K31" s="151"/>
      <c r="L31" s="151"/>
      <c r="M31" s="151"/>
      <c r="N31" s="154"/>
      <c r="O31" s="166"/>
      <c r="P31" s="151"/>
      <c r="Q31" s="173"/>
      <c r="R31" s="176"/>
      <c r="S31" s="157"/>
    </row>
    <row r="32" spans="1:19" s="1" customFormat="1" x14ac:dyDescent="0.25">
      <c r="A32" s="160"/>
      <c r="B32" s="89" t="s">
        <v>21</v>
      </c>
      <c r="C32" s="164"/>
      <c r="D32" s="171"/>
      <c r="E32" s="167"/>
      <c r="F32" s="155"/>
      <c r="G32" s="164"/>
      <c r="H32" s="152"/>
      <c r="I32" s="152"/>
      <c r="J32" s="155"/>
      <c r="K32" s="152"/>
      <c r="L32" s="152"/>
      <c r="M32" s="152"/>
      <c r="N32" s="155"/>
      <c r="O32" s="167"/>
      <c r="P32" s="152"/>
      <c r="Q32" s="174"/>
      <c r="R32" s="176"/>
      <c r="S32" s="158"/>
    </row>
    <row r="33" spans="1:19" s="1" customFormat="1" x14ac:dyDescent="0.25">
      <c r="A33" s="161"/>
      <c r="B33" s="93" t="s">
        <v>12</v>
      </c>
      <c r="C33" s="38">
        <v>8300</v>
      </c>
      <c r="D33" s="67">
        <v>7500</v>
      </c>
      <c r="E33" s="69">
        <v>8300</v>
      </c>
      <c r="F33" s="71">
        <f>C33+D33+E33</f>
        <v>24100</v>
      </c>
      <c r="G33" s="73">
        <v>8100</v>
      </c>
      <c r="H33" s="67">
        <v>4100</v>
      </c>
      <c r="I33" s="67">
        <v>0</v>
      </c>
      <c r="J33" s="71">
        <f>G33+H33+I33</f>
        <v>12200</v>
      </c>
      <c r="K33" s="67">
        <v>0</v>
      </c>
      <c r="L33" s="67">
        <v>0</v>
      </c>
      <c r="M33" s="74">
        <v>4100</v>
      </c>
      <c r="N33" s="9">
        <f>K33+L33+M33</f>
        <v>4100</v>
      </c>
      <c r="O33" s="32">
        <v>8300</v>
      </c>
      <c r="P33" s="74">
        <v>8100</v>
      </c>
      <c r="Q33" s="106">
        <v>8300</v>
      </c>
      <c r="R33" s="9">
        <f>O33+P33+Q33</f>
        <v>24700</v>
      </c>
      <c r="S33" s="108">
        <f>F33+J33+N33+R33</f>
        <v>65100</v>
      </c>
    </row>
    <row r="34" spans="1:19" s="1" customFormat="1" ht="25.5" x14ac:dyDescent="0.25">
      <c r="A34" s="88">
        <v>15</v>
      </c>
      <c r="B34" s="89" t="s">
        <v>22</v>
      </c>
      <c r="C34" s="38">
        <v>25000</v>
      </c>
      <c r="D34" s="55">
        <v>24200</v>
      </c>
      <c r="E34" s="56">
        <v>16600</v>
      </c>
      <c r="F34" s="71">
        <f>C34+D34+E34</f>
        <v>65800</v>
      </c>
      <c r="G34" s="57">
        <v>7000</v>
      </c>
      <c r="H34" s="55">
        <v>3000</v>
      </c>
      <c r="I34" s="55">
        <v>1000</v>
      </c>
      <c r="J34" s="54">
        <f>G34+H34+I34</f>
        <v>11000</v>
      </c>
      <c r="K34" s="55">
        <v>200</v>
      </c>
      <c r="L34" s="55">
        <v>200</v>
      </c>
      <c r="M34" s="55">
        <v>3200</v>
      </c>
      <c r="N34" s="54">
        <f>K34+L34+M34</f>
        <v>3600</v>
      </c>
      <c r="O34" s="140">
        <f>7000+26</f>
        <v>7026</v>
      </c>
      <c r="P34" s="55">
        <v>17000</v>
      </c>
      <c r="Q34" s="115">
        <v>25000</v>
      </c>
      <c r="R34" s="54">
        <f>O34+P34+Q34</f>
        <v>49026</v>
      </c>
      <c r="S34" s="108">
        <f t="shared" si="7"/>
        <v>129426</v>
      </c>
    </row>
    <row r="35" spans="1:19" s="1" customFormat="1" ht="27" customHeight="1" x14ac:dyDescent="0.25">
      <c r="A35" s="159">
        <v>16</v>
      </c>
      <c r="B35" s="92" t="s">
        <v>23</v>
      </c>
      <c r="C35" s="162">
        <v>4200</v>
      </c>
      <c r="D35" s="150">
        <v>4900</v>
      </c>
      <c r="E35" s="165">
        <v>5200</v>
      </c>
      <c r="F35" s="153">
        <f>C35+D35+E35</f>
        <v>14300</v>
      </c>
      <c r="G35" s="162">
        <v>3400</v>
      </c>
      <c r="H35" s="150">
        <v>3700</v>
      </c>
      <c r="I35" s="150">
        <v>2300</v>
      </c>
      <c r="J35" s="153">
        <f>G35+H35+I35</f>
        <v>9400</v>
      </c>
      <c r="K35" s="150">
        <v>300</v>
      </c>
      <c r="L35" s="159">
        <v>400</v>
      </c>
      <c r="M35" s="168">
        <v>4600</v>
      </c>
      <c r="N35" s="169">
        <f>K35+L35+M35</f>
        <v>5300</v>
      </c>
      <c r="O35" s="170">
        <v>5000</v>
      </c>
      <c r="P35" s="171">
        <v>4100</v>
      </c>
      <c r="Q35" s="177">
        <v>5500</v>
      </c>
      <c r="R35" s="175">
        <f t="shared" ref="R35:R46" si="11">O35+P35+Q35</f>
        <v>14600</v>
      </c>
      <c r="S35" s="156">
        <f t="shared" si="7"/>
        <v>43600</v>
      </c>
    </row>
    <row r="36" spans="1:19" s="1" customFormat="1" x14ac:dyDescent="0.25">
      <c r="A36" s="160"/>
      <c r="B36" s="90" t="s">
        <v>11</v>
      </c>
      <c r="C36" s="163"/>
      <c r="D36" s="151"/>
      <c r="E36" s="166"/>
      <c r="F36" s="154"/>
      <c r="G36" s="163"/>
      <c r="H36" s="151"/>
      <c r="I36" s="151"/>
      <c r="J36" s="154"/>
      <c r="K36" s="151"/>
      <c r="L36" s="160"/>
      <c r="M36" s="168"/>
      <c r="N36" s="169"/>
      <c r="O36" s="170"/>
      <c r="P36" s="171"/>
      <c r="Q36" s="177"/>
      <c r="R36" s="175"/>
      <c r="S36" s="157"/>
    </row>
    <row r="37" spans="1:19" s="1" customFormat="1" x14ac:dyDescent="0.25">
      <c r="A37" s="160"/>
      <c r="B37" s="94" t="s">
        <v>20</v>
      </c>
      <c r="C37" s="164"/>
      <c r="D37" s="152"/>
      <c r="E37" s="167"/>
      <c r="F37" s="155"/>
      <c r="G37" s="164"/>
      <c r="H37" s="152"/>
      <c r="I37" s="152"/>
      <c r="J37" s="155"/>
      <c r="K37" s="152"/>
      <c r="L37" s="161"/>
      <c r="M37" s="168"/>
      <c r="N37" s="169"/>
      <c r="O37" s="170"/>
      <c r="P37" s="171"/>
      <c r="Q37" s="177"/>
      <c r="R37" s="175"/>
      <c r="S37" s="158"/>
    </row>
    <row r="38" spans="1:19" s="1" customFormat="1" x14ac:dyDescent="0.25">
      <c r="A38" s="160"/>
      <c r="B38" s="90" t="s">
        <v>24</v>
      </c>
      <c r="C38" s="59">
        <v>36000</v>
      </c>
      <c r="D38" s="75">
        <v>33000</v>
      </c>
      <c r="E38" s="58">
        <v>26000</v>
      </c>
      <c r="F38" s="9">
        <f>C38+D38+E38</f>
        <v>95000</v>
      </c>
      <c r="G38" s="59">
        <v>18000</v>
      </c>
      <c r="H38" s="75">
        <v>3500</v>
      </c>
      <c r="I38" s="75">
        <v>100</v>
      </c>
      <c r="J38" s="77">
        <f>G38+H38+I38</f>
        <v>21600</v>
      </c>
      <c r="K38" s="75">
        <v>100</v>
      </c>
      <c r="L38" s="75">
        <v>100</v>
      </c>
      <c r="M38" s="67">
        <v>3500</v>
      </c>
      <c r="N38" s="71">
        <f>K38+L38+M38</f>
        <v>3700</v>
      </c>
      <c r="O38" s="69">
        <v>18000</v>
      </c>
      <c r="P38" s="67">
        <v>25500</v>
      </c>
      <c r="Q38" s="114">
        <v>37000</v>
      </c>
      <c r="R38" s="54">
        <f t="shared" si="11"/>
        <v>80500</v>
      </c>
      <c r="S38" s="108">
        <f t="shared" si="7"/>
        <v>200800</v>
      </c>
    </row>
    <row r="39" spans="1:19" s="1" customFormat="1" x14ac:dyDescent="0.25">
      <c r="A39" s="161"/>
      <c r="B39" s="93" t="s">
        <v>12</v>
      </c>
      <c r="C39" s="73">
        <v>7650</v>
      </c>
      <c r="D39" s="67">
        <v>7000</v>
      </c>
      <c r="E39" s="69">
        <v>7650</v>
      </c>
      <c r="F39" s="71">
        <f>C39+D39+E39</f>
        <v>22300</v>
      </c>
      <c r="G39" s="73">
        <v>7400</v>
      </c>
      <c r="H39" s="67">
        <v>3700</v>
      </c>
      <c r="I39" s="67">
        <v>0</v>
      </c>
      <c r="J39" s="77">
        <f t="shared" ref="J39:J40" si="12">G39+H39+I39</f>
        <v>11100</v>
      </c>
      <c r="K39" s="67">
        <v>0</v>
      </c>
      <c r="L39" s="67">
        <v>0</v>
      </c>
      <c r="M39" s="67">
        <v>6700</v>
      </c>
      <c r="N39" s="71">
        <f>K39+L39+M39</f>
        <v>6700</v>
      </c>
      <c r="O39" s="69">
        <v>7700</v>
      </c>
      <c r="P39" s="74">
        <v>7500</v>
      </c>
      <c r="Q39" s="106">
        <v>7650</v>
      </c>
      <c r="R39" s="54">
        <f t="shared" si="11"/>
        <v>22850</v>
      </c>
      <c r="S39" s="108">
        <f t="shared" si="7"/>
        <v>62950</v>
      </c>
    </row>
    <row r="40" spans="1:19" s="1" customFormat="1" ht="25.5" x14ac:dyDescent="0.25">
      <c r="A40" s="88">
        <v>17</v>
      </c>
      <c r="B40" s="89" t="s">
        <v>25</v>
      </c>
      <c r="C40" s="38">
        <v>17500</v>
      </c>
      <c r="D40" s="74">
        <v>17000</v>
      </c>
      <c r="E40" s="32">
        <v>18300</v>
      </c>
      <c r="F40" s="71">
        <f>C40+D40+E40</f>
        <v>52800</v>
      </c>
      <c r="G40" s="38">
        <v>16200</v>
      </c>
      <c r="H40" s="74">
        <v>9600</v>
      </c>
      <c r="I40" s="74">
        <v>4500</v>
      </c>
      <c r="J40" s="77">
        <f t="shared" si="12"/>
        <v>30300</v>
      </c>
      <c r="K40" s="74">
        <v>500</v>
      </c>
      <c r="L40" s="74">
        <f>300+2178</f>
        <v>2478</v>
      </c>
      <c r="M40" s="74">
        <v>10200</v>
      </c>
      <c r="N40" s="9">
        <f>K40+L40+M40</f>
        <v>13178</v>
      </c>
      <c r="O40" s="32">
        <v>18300</v>
      </c>
      <c r="P40" s="74">
        <v>17500</v>
      </c>
      <c r="Q40" s="106">
        <v>19100</v>
      </c>
      <c r="R40" s="54">
        <f t="shared" si="11"/>
        <v>54900</v>
      </c>
      <c r="S40" s="108">
        <f t="shared" si="7"/>
        <v>151178</v>
      </c>
    </row>
    <row r="41" spans="1:19" s="1" customFormat="1" ht="25.5" customHeight="1" x14ac:dyDescent="0.25">
      <c r="A41" s="159">
        <v>18</v>
      </c>
      <c r="B41" s="92" t="s">
        <v>26</v>
      </c>
      <c r="C41" s="162">
        <f>9600+2000+2200</f>
        <v>13800</v>
      </c>
      <c r="D41" s="150">
        <f>11200+2000+2000</f>
        <v>15200</v>
      </c>
      <c r="E41" s="165">
        <f>11400+2400+2200</f>
        <v>16000</v>
      </c>
      <c r="F41" s="153">
        <f>C41+D41+E41</f>
        <v>45000</v>
      </c>
      <c r="G41" s="162">
        <f>6000+2000+1000</f>
        <v>9000</v>
      </c>
      <c r="H41" s="150">
        <f>5500+1800</f>
        <v>7300</v>
      </c>
      <c r="I41" s="150">
        <f>4700+1000</f>
        <v>5700</v>
      </c>
      <c r="J41" s="153">
        <f>G41+H41+I41</f>
        <v>22000</v>
      </c>
      <c r="K41" s="150">
        <v>1500</v>
      </c>
      <c r="L41" s="150">
        <v>1500</v>
      </c>
      <c r="M41" s="150">
        <f>6200+4800</f>
        <v>11000</v>
      </c>
      <c r="N41" s="153">
        <f>K41+L41+M41</f>
        <v>14000</v>
      </c>
      <c r="O41" s="165">
        <f>6500+2000+1000</f>
        <v>9500</v>
      </c>
      <c r="P41" s="150">
        <f>8500+2000+2100</f>
        <v>12600</v>
      </c>
      <c r="Q41" s="172">
        <f>11000+2000+2200+1245</f>
        <v>16445</v>
      </c>
      <c r="R41" s="175">
        <f t="shared" si="11"/>
        <v>38545</v>
      </c>
      <c r="S41" s="156">
        <f t="shared" si="7"/>
        <v>119545</v>
      </c>
    </row>
    <row r="42" spans="1:19" s="1" customFormat="1" x14ac:dyDescent="0.25">
      <c r="A42" s="160"/>
      <c r="B42" s="90" t="s">
        <v>10</v>
      </c>
      <c r="C42" s="163"/>
      <c r="D42" s="151"/>
      <c r="E42" s="166"/>
      <c r="F42" s="154"/>
      <c r="G42" s="163"/>
      <c r="H42" s="151"/>
      <c r="I42" s="151"/>
      <c r="J42" s="154"/>
      <c r="K42" s="151"/>
      <c r="L42" s="151"/>
      <c r="M42" s="151"/>
      <c r="N42" s="154"/>
      <c r="O42" s="166"/>
      <c r="P42" s="151"/>
      <c r="Q42" s="173"/>
      <c r="R42" s="175"/>
      <c r="S42" s="157"/>
    </row>
    <row r="43" spans="1:19" s="1" customFormat="1" x14ac:dyDescent="0.25">
      <c r="A43" s="160"/>
      <c r="B43" s="91" t="s">
        <v>27</v>
      </c>
      <c r="C43" s="164"/>
      <c r="D43" s="152"/>
      <c r="E43" s="167"/>
      <c r="F43" s="155"/>
      <c r="G43" s="164"/>
      <c r="H43" s="152"/>
      <c r="I43" s="152"/>
      <c r="J43" s="155"/>
      <c r="K43" s="152"/>
      <c r="L43" s="152"/>
      <c r="M43" s="152"/>
      <c r="N43" s="155"/>
      <c r="O43" s="167"/>
      <c r="P43" s="152"/>
      <c r="Q43" s="174"/>
      <c r="R43" s="175"/>
      <c r="S43" s="158"/>
    </row>
    <row r="44" spans="1:19" s="1" customFormat="1" x14ac:dyDescent="0.25">
      <c r="A44" s="161"/>
      <c r="B44" s="95" t="s">
        <v>12</v>
      </c>
      <c r="C44" s="38">
        <v>13100</v>
      </c>
      <c r="D44" s="74">
        <v>15200</v>
      </c>
      <c r="E44" s="32">
        <v>13500</v>
      </c>
      <c r="F44" s="9">
        <f>C44+D44+E44</f>
        <v>41800</v>
      </c>
      <c r="G44" s="38">
        <v>14000</v>
      </c>
      <c r="H44" s="74">
        <v>11000</v>
      </c>
      <c r="I44" s="74">
        <v>0</v>
      </c>
      <c r="J44" s="9">
        <f>G44+H44+I44</f>
        <v>25000</v>
      </c>
      <c r="K44" s="74">
        <v>0</v>
      </c>
      <c r="L44" s="74">
        <v>0</v>
      </c>
      <c r="M44" s="74">
        <v>4800</v>
      </c>
      <c r="N44" s="9">
        <f>M44+L44+K44</f>
        <v>4800</v>
      </c>
      <c r="O44" s="32">
        <v>11500</v>
      </c>
      <c r="P44" s="74">
        <v>16000</v>
      </c>
      <c r="Q44" s="106">
        <f>15000+978</f>
        <v>15978</v>
      </c>
      <c r="R44" s="54">
        <f t="shared" si="11"/>
        <v>43478</v>
      </c>
      <c r="S44" s="108">
        <f t="shared" si="7"/>
        <v>115078</v>
      </c>
    </row>
    <row r="45" spans="1:19" s="1" customFormat="1" ht="25.5" x14ac:dyDescent="0.25">
      <c r="A45" s="76">
        <v>19</v>
      </c>
      <c r="B45" s="89" t="s">
        <v>28</v>
      </c>
      <c r="C45" s="38">
        <v>7500</v>
      </c>
      <c r="D45" s="74">
        <v>7500</v>
      </c>
      <c r="E45" s="32">
        <v>8000</v>
      </c>
      <c r="F45" s="9">
        <f>C45+D45+E45</f>
        <v>23000</v>
      </c>
      <c r="G45" s="38">
        <v>6700</v>
      </c>
      <c r="H45" s="74">
        <v>4300</v>
      </c>
      <c r="I45" s="74">
        <v>1500</v>
      </c>
      <c r="J45" s="9">
        <f>G45+H45+I45</f>
        <v>12500</v>
      </c>
      <c r="K45" s="74">
        <v>300</v>
      </c>
      <c r="L45" s="74">
        <f>300+1372</f>
        <v>1672</v>
      </c>
      <c r="M45" s="74">
        <v>4800</v>
      </c>
      <c r="N45" s="9">
        <f>M45+L45+K45</f>
        <v>6772</v>
      </c>
      <c r="O45" s="32">
        <v>7000</v>
      </c>
      <c r="P45" s="74">
        <v>7500</v>
      </c>
      <c r="Q45" s="106">
        <v>7500</v>
      </c>
      <c r="R45" s="54">
        <f t="shared" si="11"/>
        <v>22000</v>
      </c>
      <c r="S45" s="108">
        <f t="shared" si="7"/>
        <v>64272</v>
      </c>
    </row>
    <row r="46" spans="1:19" s="46" customFormat="1" ht="18.75" customHeight="1" x14ac:dyDescent="0.25">
      <c r="A46" s="76">
        <v>20</v>
      </c>
      <c r="B46" s="89" t="s">
        <v>88</v>
      </c>
      <c r="C46" s="38">
        <v>14523</v>
      </c>
      <c r="D46" s="74">
        <v>14244</v>
      </c>
      <c r="E46" s="32">
        <v>14912</v>
      </c>
      <c r="F46" s="9">
        <f t="shared" ref="F46" si="13">C46+D46+E46</f>
        <v>43679</v>
      </c>
      <c r="G46" s="38">
        <v>7784</v>
      </c>
      <c r="H46" s="74">
        <v>3136</v>
      </c>
      <c r="I46" s="74">
        <v>20</v>
      </c>
      <c r="J46" s="9">
        <f t="shared" ref="J46" si="14">G46+H46+I46</f>
        <v>10940</v>
      </c>
      <c r="K46" s="74">
        <v>0</v>
      </c>
      <c r="L46" s="74">
        <v>0</v>
      </c>
      <c r="M46" s="74">
        <v>3420</v>
      </c>
      <c r="N46" s="9">
        <f t="shared" ref="N46" si="15">K46+L46+M46</f>
        <v>3420</v>
      </c>
      <c r="O46" s="32">
        <v>8192</v>
      </c>
      <c r="P46" s="74">
        <v>14750</v>
      </c>
      <c r="Q46" s="106">
        <v>15113</v>
      </c>
      <c r="R46" s="9">
        <f t="shared" si="11"/>
        <v>38055</v>
      </c>
      <c r="S46" s="108">
        <f t="shared" ref="S46" si="16">C46+D46+E46+G46+H46+I46+K46+L46+M46+O46+P46+Q46</f>
        <v>96094</v>
      </c>
    </row>
    <row r="47" spans="1:19" s="1" customFormat="1" x14ac:dyDescent="0.25">
      <c r="A47" s="86"/>
      <c r="B47" s="96" t="s">
        <v>29</v>
      </c>
      <c r="C47" s="35">
        <f t="shared" ref="C47:M47" si="17">SUM(C48:C64)</f>
        <v>169800</v>
      </c>
      <c r="D47" s="10">
        <f t="shared" si="17"/>
        <v>167050</v>
      </c>
      <c r="E47" s="29">
        <f t="shared" si="17"/>
        <v>133700</v>
      </c>
      <c r="F47" s="10">
        <f t="shared" si="17"/>
        <v>467250</v>
      </c>
      <c r="G47" s="35">
        <f t="shared" si="17"/>
        <v>89700</v>
      </c>
      <c r="H47" s="10">
        <f t="shared" si="17"/>
        <v>49100</v>
      </c>
      <c r="I47" s="10">
        <f t="shared" si="17"/>
        <v>9550</v>
      </c>
      <c r="J47" s="10">
        <f t="shared" si="17"/>
        <v>148350</v>
      </c>
      <c r="K47" s="10">
        <f t="shared" si="17"/>
        <v>1350</v>
      </c>
      <c r="L47" s="10">
        <f t="shared" si="17"/>
        <v>921</v>
      </c>
      <c r="M47" s="10">
        <f t="shared" si="17"/>
        <v>41102</v>
      </c>
      <c r="N47" s="10">
        <f>K47+L47+M47</f>
        <v>43373</v>
      </c>
      <c r="O47" s="29">
        <f>SUM(O48:O64)</f>
        <v>95853</v>
      </c>
      <c r="P47" s="10">
        <f>SUM(P48:P64)</f>
        <v>138620</v>
      </c>
      <c r="Q47" s="116">
        <f>SUM(Q48:Q64)</f>
        <v>166125</v>
      </c>
      <c r="R47" s="10">
        <f>O47+P47+Q47</f>
        <v>400598</v>
      </c>
      <c r="S47" s="109">
        <f t="shared" si="7"/>
        <v>1062871</v>
      </c>
    </row>
    <row r="48" spans="1:19" s="1" customFormat="1" ht="25.5" x14ac:dyDescent="0.25">
      <c r="A48" s="88">
        <v>1</v>
      </c>
      <c r="B48" s="89" t="s">
        <v>30</v>
      </c>
      <c r="C48" s="38">
        <v>2300</v>
      </c>
      <c r="D48" s="74">
        <v>2250</v>
      </c>
      <c r="E48" s="32">
        <v>1700</v>
      </c>
      <c r="F48" s="9">
        <f>C48+D48+E48</f>
        <v>6250</v>
      </c>
      <c r="G48" s="38">
        <v>1100</v>
      </c>
      <c r="H48" s="74">
        <v>1000</v>
      </c>
      <c r="I48" s="74">
        <v>900</v>
      </c>
      <c r="J48" s="9">
        <f>G48+H48+I48</f>
        <v>3000</v>
      </c>
      <c r="K48" s="74">
        <v>200</v>
      </c>
      <c r="L48" s="74">
        <v>200</v>
      </c>
      <c r="M48" s="74">
        <v>1500</v>
      </c>
      <c r="N48" s="9">
        <f>K48+L48+M48</f>
        <v>1900</v>
      </c>
      <c r="O48" s="32">
        <v>1700</v>
      </c>
      <c r="P48" s="74">
        <v>1700</v>
      </c>
      <c r="Q48" s="106">
        <v>2300</v>
      </c>
      <c r="R48" s="9">
        <f>O48+P48+Q48</f>
        <v>5700</v>
      </c>
      <c r="S48" s="108">
        <f t="shared" si="7"/>
        <v>16850</v>
      </c>
    </row>
    <row r="49" spans="1:19" s="1" customFormat="1" ht="25.5" x14ac:dyDescent="0.25">
      <c r="A49" s="88">
        <v>2</v>
      </c>
      <c r="B49" s="97" t="s">
        <v>31</v>
      </c>
      <c r="C49" s="38">
        <v>19000</v>
      </c>
      <c r="D49" s="74">
        <v>16000</v>
      </c>
      <c r="E49" s="32">
        <v>14000</v>
      </c>
      <c r="F49" s="9">
        <v>45700</v>
      </c>
      <c r="G49" s="38">
        <v>9000</v>
      </c>
      <c r="H49" s="74">
        <v>3000</v>
      </c>
      <c r="I49" s="74">
        <v>300</v>
      </c>
      <c r="J49" s="9">
        <f t="shared" ref="J49:J64" si="18">G49+H49+I49</f>
        <v>12300</v>
      </c>
      <c r="K49" s="74">
        <v>0</v>
      </c>
      <c r="L49" s="74">
        <f>0+71</f>
        <v>71</v>
      </c>
      <c r="M49" s="74">
        <f>1600+300</f>
        <v>1900</v>
      </c>
      <c r="N49" s="9">
        <f t="shared" ref="N49:N64" si="19">K49+L49+M49</f>
        <v>1971</v>
      </c>
      <c r="O49" s="32">
        <f>8000+300</f>
        <v>8300</v>
      </c>
      <c r="P49" s="74">
        <f>13000+310</f>
        <v>13310</v>
      </c>
      <c r="Q49" s="106">
        <f>19000+310</f>
        <v>19310</v>
      </c>
      <c r="R49" s="9">
        <f t="shared" ref="R49:R64" si="20">O49+P49+Q49</f>
        <v>40920</v>
      </c>
      <c r="S49" s="108">
        <f t="shared" si="7"/>
        <v>104191</v>
      </c>
    </row>
    <row r="50" spans="1:19" s="1" customFormat="1" x14ac:dyDescent="0.25">
      <c r="A50" s="88">
        <v>3</v>
      </c>
      <c r="B50" s="97" t="s">
        <v>32</v>
      </c>
      <c r="C50" s="38">
        <v>10500</v>
      </c>
      <c r="D50" s="74">
        <v>10300</v>
      </c>
      <c r="E50" s="32">
        <v>10100</v>
      </c>
      <c r="F50" s="9">
        <f t="shared" ref="F50:F105" si="21">C50+D50+E50</f>
        <v>30900</v>
      </c>
      <c r="G50" s="38">
        <v>7400</v>
      </c>
      <c r="H50" s="74">
        <v>4000</v>
      </c>
      <c r="I50" s="74">
        <v>1000</v>
      </c>
      <c r="J50" s="9">
        <f t="shared" si="18"/>
        <v>12400</v>
      </c>
      <c r="K50" s="74">
        <v>300</v>
      </c>
      <c r="L50" s="74">
        <v>0</v>
      </c>
      <c r="M50" s="78">
        <f>2700+400+760+19</f>
        <v>3879</v>
      </c>
      <c r="N50" s="9">
        <f t="shared" si="19"/>
        <v>4179</v>
      </c>
      <c r="O50" s="32">
        <f>7400+300</f>
        <v>7700</v>
      </c>
      <c r="P50" s="74">
        <f>10100+310</f>
        <v>10410</v>
      </c>
      <c r="Q50" s="106">
        <f>10700+300</f>
        <v>11000</v>
      </c>
      <c r="R50" s="9">
        <f t="shared" si="20"/>
        <v>29110</v>
      </c>
      <c r="S50" s="108">
        <f t="shared" si="7"/>
        <v>76589</v>
      </c>
    </row>
    <row r="51" spans="1:19" s="1" customFormat="1" x14ac:dyDescent="0.25">
      <c r="A51" s="88">
        <v>4</v>
      </c>
      <c r="B51" s="97" t="s">
        <v>33</v>
      </c>
      <c r="C51" s="38">
        <v>14500</v>
      </c>
      <c r="D51" s="74">
        <v>13600</v>
      </c>
      <c r="E51" s="32">
        <v>10500</v>
      </c>
      <c r="F51" s="9">
        <f t="shared" si="21"/>
        <v>38600</v>
      </c>
      <c r="G51" s="38">
        <v>7100</v>
      </c>
      <c r="H51" s="74">
        <v>4000</v>
      </c>
      <c r="I51" s="74">
        <v>1000</v>
      </c>
      <c r="J51" s="9">
        <f t="shared" si="18"/>
        <v>12100</v>
      </c>
      <c r="K51" s="74">
        <v>0</v>
      </c>
      <c r="L51" s="74">
        <v>0</v>
      </c>
      <c r="M51" s="78">
        <f>2600+410</f>
        <v>3010</v>
      </c>
      <c r="N51" s="9">
        <f t="shared" si="19"/>
        <v>3010</v>
      </c>
      <c r="O51" s="139">
        <f>6400+400+200+21</f>
        <v>7021</v>
      </c>
      <c r="P51" s="74">
        <f>11600+400</f>
        <v>12000</v>
      </c>
      <c r="Q51" s="106">
        <f>13600+400+15</f>
        <v>14015</v>
      </c>
      <c r="R51" s="9">
        <f t="shared" si="20"/>
        <v>33036</v>
      </c>
      <c r="S51" s="108">
        <f t="shared" si="7"/>
        <v>86746</v>
      </c>
    </row>
    <row r="52" spans="1:19" s="1" customFormat="1" x14ac:dyDescent="0.25">
      <c r="A52" s="88">
        <v>5</v>
      </c>
      <c r="B52" s="97" t="s">
        <v>34</v>
      </c>
      <c r="C52" s="38">
        <v>15500</v>
      </c>
      <c r="D52" s="74">
        <v>15400</v>
      </c>
      <c r="E52" s="32">
        <v>11500</v>
      </c>
      <c r="F52" s="9">
        <f t="shared" si="21"/>
        <v>42400</v>
      </c>
      <c r="G52" s="38">
        <v>7000</v>
      </c>
      <c r="H52" s="74">
        <v>3100</v>
      </c>
      <c r="I52" s="74">
        <v>1500</v>
      </c>
      <c r="J52" s="9">
        <f t="shared" si="18"/>
        <v>11600</v>
      </c>
      <c r="K52" s="74">
        <v>300</v>
      </c>
      <c r="L52" s="74">
        <v>0</v>
      </c>
      <c r="M52" s="74">
        <f>2500+300</f>
        <v>2800</v>
      </c>
      <c r="N52" s="9">
        <f t="shared" si="19"/>
        <v>3100</v>
      </c>
      <c r="O52" s="139">
        <f>7500+400</f>
        <v>7900</v>
      </c>
      <c r="P52" s="74">
        <f>11500+400</f>
        <v>11900</v>
      </c>
      <c r="Q52" s="106">
        <f>13500+400</f>
        <v>13900</v>
      </c>
      <c r="R52" s="9">
        <f t="shared" si="20"/>
        <v>33700</v>
      </c>
      <c r="S52" s="108">
        <f t="shared" si="7"/>
        <v>90800</v>
      </c>
    </row>
    <row r="53" spans="1:19" s="1" customFormat="1" ht="25.5" x14ac:dyDescent="0.25">
      <c r="A53" s="88">
        <v>7</v>
      </c>
      <c r="B53" s="89" t="s">
        <v>35</v>
      </c>
      <c r="C53" s="38">
        <v>1000</v>
      </c>
      <c r="D53" s="74">
        <v>1000</v>
      </c>
      <c r="E53" s="32">
        <v>1000</v>
      </c>
      <c r="F53" s="9">
        <f t="shared" si="21"/>
        <v>3000</v>
      </c>
      <c r="G53" s="38">
        <v>1000</v>
      </c>
      <c r="H53" s="74">
        <v>800</v>
      </c>
      <c r="I53" s="74">
        <v>100</v>
      </c>
      <c r="J53" s="9">
        <f t="shared" si="18"/>
        <v>1900</v>
      </c>
      <c r="K53" s="74">
        <v>0</v>
      </c>
      <c r="L53" s="74">
        <v>0</v>
      </c>
      <c r="M53" s="78">
        <f>800+13</f>
        <v>813</v>
      </c>
      <c r="N53" s="9">
        <f t="shared" si="19"/>
        <v>813</v>
      </c>
      <c r="O53" s="139">
        <f>1000+14</f>
        <v>1014</v>
      </c>
      <c r="P53" s="74">
        <v>1000</v>
      </c>
      <c r="Q53" s="106">
        <v>1000</v>
      </c>
      <c r="R53" s="9">
        <f t="shared" si="20"/>
        <v>3014</v>
      </c>
      <c r="S53" s="108">
        <f t="shared" si="7"/>
        <v>8727</v>
      </c>
    </row>
    <row r="54" spans="1:19" s="1" customFormat="1" ht="25.5" x14ac:dyDescent="0.25">
      <c r="A54" s="88">
        <v>8</v>
      </c>
      <c r="B54" s="97" t="s">
        <v>36</v>
      </c>
      <c r="C54" s="38">
        <v>26600</v>
      </c>
      <c r="D54" s="74">
        <v>20000</v>
      </c>
      <c r="E54" s="32">
        <v>10500</v>
      </c>
      <c r="F54" s="9">
        <f t="shared" si="21"/>
        <v>57100</v>
      </c>
      <c r="G54" s="38">
        <v>8100</v>
      </c>
      <c r="H54" s="74">
        <v>3000</v>
      </c>
      <c r="I54" s="74">
        <v>750</v>
      </c>
      <c r="J54" s="9">
        <f t="shared" si="18"/>
        <v>11850</v>
      </c>
      <c r="K54" s="74">
        <v>150</v>
      </c>
      <c r="L54" s="74">
        <v>150</v>
      </c>
      <c r="M54" s="74">
        <f>2000+400</f>
        <v>2400</v>
      </c>
      <c r="N54" s="9">
        <f t="shared" si="19"/>
        <v>2700</v>
      </c>
      <c r="O54" s="139">
        <f>7000+400+1400+18</f>
        <v>8818</v>
      </c>
      <c r="P54" s="74">
        <f>13800+400</f>
        <v>14200</v>
      </c>
      <c r="Q54" s="106">
        <f>17000+400</f>
        <v>17400</v>
      </c>
      <c r="R54" s="9">
        <f t="shared" si="20"/>
        <v>40418</v>
      </c>
      <c r="S54" s="108">
        <f t="shared" si="7"/>
        <v>112068</v>
      </c>
    </row>
    <row r="55" spans="1:19" s="1" customFormat="1" ht="25.5" x14ac:dyDescent="0.25">
      <c r="A55" s="88">
        <v>9</v>
      </c>
      <c r="B55" s="97" t="s">
        <v>37</v>
      </c>
      <c r="C55" s="38">
        <v>6000</v>
      </c>
      <c r="D55" s="74">
        <v>7500</v>
      </c>
      <c r="E55" s="32">
        <v>5200</v>
      </c>
      <c r="F55" s="9">
        <f t="shared" si="21"/>
        <v>18700</v>
      </c>
      <c r="G55" s="38">
        <v>3000</v>
      </c>
      <c r="H55" s="74">
        <v>2000</v>
      </c>
      <c r="I55" s="74">
        <v>1200</v>
      </c>
      <c r="J55" s="9">
        <f t="shared" si="18"/>
        <v>6200</v>
      </c>
      <c r="K55" s="74">
        <v>0</v>
      </c>
      <c r="L55" s="74">
        <v>0</v>
      </c>
      <c r="M55" s="78">
        <f>600+500</f>
        <v>1100</v>
      </c>
      <c r="N55" s="9">
        <f t="shared" si="19"/>
        <v>1100</v>
      </c>
      <c r="O55" s="32">
        <f>3500+500</f>
        <v>4000</v>
      </c>
      <c r="P55" s="74">
        <f>4000+500</f>
        <v>4500</v>
      </c>
      <c r="Q55" s="106">
        <f>8000+500</f>
        <v>8500</v>
      </c>
      <c r="R55" s="9">
        <f t="shared" si="20"/>
        <v>17000</v>
      </c>
      <c r="S55" s="108">
        <f t="shared" si="7"/>
        <v>43000</v>
      </c>
    </row>
    <row r="56" spans="1:19" s="1" customFormat="1" ht="25.5" x14ac:dyDescent="0.25">
      <c r="A56" s="88">
        <v>10</v>
      </c>
      <c r="B56" s="89" t="s">
        <v>38</v>
      </c>
      <c r="C56" s="38">
        <v>3000</v>
      </c>
      <c r="D56" s="74">
        <v>3500</v>
      </c>
      <c r="E56" s="32">
        <v>3000</v>
      </c>
      <c r="F56" s="9">
        <f t="shared" si="21"/>
        <v>9500</v>
      </c>
      <c r="G56" s="38">
        <v>2800</v>
      </c>
      <c r="H56" s="74">
        <v>1000</v>
      </c>
      <c r="I56" s="74">
        <v>100</v>
      </c>
      <c r="J56" s="9">
        <f t="shared" si="18"/>
        <v>3900</v>
      </c>
      <c r="K56" s="74">
        <v>0</v>
      </c>
      <c r="L56" s="74">
        <v>0</v>
      </c>
      <c r="M56" s="74">
        <v>1000</v>
      </c>
      <c r="N56" s="9">
        <f t="shared" si="19"/>
        <v>1000</v>
      </c>
      <c r="O56" s="32">
        <v>2800</v>
      </c>
      <c r="P56" s="74">
        <v>3000</v>
      </c>
      <c r="Q56" s="106">
        <v>3700</v>
      </c>
      <c r="R56" s="9">
        <f t="shared" si="20"/>
        <v>9500</v>
      </c>
      <c r="S56" s="108">
        <f t="shared" si="7"/>
        <v>23900</v>
      </c>
    </row>
    <row r="57" spans="1:19" s="1" customFormat="1" ht="25.5" x14ac:dyDescent="0.25">
      <c r="A57" s="88">
        <v>11</v>
      </c>
      <c r="B57" s="89" t="s">
        <v>39</v>
      </c>
      <c r="C57" s="38">
        <v>3150</v>
      </c>
      <c r="D57" s="74">
        <v>4500</v>
      </c>
      <c r="E57" s="32">
        <v>3100</v>
      </c>
      <c r="F57" s="9">
        <f t="shared" si="21"/>
        <v>10750</v>
      </c>
      <c r="G57" s="38">
        <v>1700</v>
      </c>
      <c r="H57" s="74">
        <v>1600</v>
      </c>
      <c r="I57" s="74">
        <v>100</v>
      </c>
      <c r="J57" s="9">
        <f t="shared" si="18"/>
        <v>3400</v>
      </c>
      <c r="K57" s="74">
        <v>100</v>
      </c>
      <c r="L57" s="74">
        <v>100</v>
      </c>
      <c r="M57" s="74">
        <v>500</v>
      </c>
      <c r="N57" s="9">
        <f t="shared" si="19"/>
        <v>700</v>
      </c>
      <c r="O57" s="32">
        <v>2300</v>
      </c>
      <c r="P57" s="74">
        <v>3500</v>
      </c>
      <c r="Q57" s="106">
        <v>4000</v>
      </c>
      <c r="R57" s="9">
        <f t="shared" si="20"/>
        <v>9800</v>
      </c>
      <c r="S57" s="108">
        <f t="shared" si="7"/>
        <v>24650</v>
      </c>
    </row>
    <row r="58" spans="1:19" s="1" customFormat="1" ht="25.5" x14ac:dyDescent="0.25">
      <c r="A58" s="88">
        <v>12</v>
      </c>
      <c r="B58" s="89" t="s">
        <v>40</v>
      </c>
      <c r="C58" s="38">
        <v>6000</v>
      </c>
      <c r="D58" s="74">
        <v>6200</v>
      </c>
      <c r="E58" s="32">
        <v>6200</v>
      </c>
      <c r="F58" s="9">
        <f t="shared" si="21"/>
        <v>18400</v>
      </c>
      <c r="G58" s="38">
        <v>4000</v>
      </c>
      <c r="H58" s="74">
        <v>1800</v>
      </c>
      <c r="I58" s="74">
        <v>100</v>
      </c>
      <c r="J58" s="9">
        <f t="shared" si="18"/>
        <v>5900</v>
      </c>
      <c r="K58" s="74">
        <v>0</v>
      </c>
      <c r="L58" s="74">
        <v>0</v>
      </c>
      <c r="M58" s="74">
        <v>1800</v>
      </c>
      <c r="N58" s="9">
        <f t="shared" si="19"/>
        <v>1800</v>
      </c>
      <c r="O58" s="32">
        <v>4000</v>
      </c>
      <c r="P58" s="74">
        <v>6200</v>
      </c>
      <c r="Q58" s="106">
        <v>6500</v>
      </c>
      <c r="R58" s="9">
        <f t="shared" si="20"/>
        <v>16700</v>
      </c>
      <c r="S58" s="108">
        <f t="shared" si="7"/>
        <v>42800</v>
      </c>
    </row>
    <row r="59" spans="1:19" s="1" customFormat="1" ht="25.5" x14ac:dyDescent="0.25">
      <c r="A59" s="88">
        <v>13</v>
      </c>
      <c r="B59" s="97" t="s">
        <v>41</v>
      </c>
      <c r="C59" s="38">
        <v>9000</v>
      </c>
      <c r="D59" s="74">
        <v>9500</v>
      </c>
      <c r="E59" s="32">
        <v>8800</v>
      </c>
      <c r="F59" s="9">
        <f t="shared" si="21"/>
        <v>27300</v>
      </c>
      <c r="G59" s="38">
        <v>7500</v>
      </c>
      <c r="H59" s="74">
        <v>4200</v>
      </c>
      <c r="I59" s="74">
        <v>500</v>
      </c>
      <c r="J59" s="9">
        <f t="shared" si="18"/>
        <v>12200</v>
      </c>
      <c r="K59" s="74">
        <v>100</v>
      </c>
      <c r="L59" s="74">
        <v>0</v>
      </c>
      <c r="M59" s="74">
        <f>5400+300</f>
        <v>5700</v>
      </c>
      <c r="N59" s="9">
        <f t="shared" si="19"/>
        <v>5800</v>
      </c>
      <c r="O59" s="32">
        <f>8800+300</f>
        <v>9100</v>
      </c>
      <c r="P59" s="74">
        <f>9000+300</f>
        <v>9300</v>
      </c>
      <c r="Q59" s="106">
        <f>9500+300</f>
        <v>9800</v>
      </c>
      <c r="R59" s="9">
        <f t="shared" si="20"/>
        <v>28200</v>
      </c>
      <c r="S59" s="108">
        <f t="shared" si="7"/>
        <v>73500</v>
      </c>
    </row>
    <row r="60" spans="1:19" s="1" customFormat="1" ht="25.5" x14ac:dyDescent="0.25">
      <c r="A60" s="98">
        <v>14</v>
      </c>
      <c r="B60" s="89" t="s">
        <v>42</v>
      </c>
      <c r="C60" s="38">
        <v>0</v>
      </c>
      <c r="D60" s="74">
        <v>0</v>
      </c>
      <c r="E60" s="32">
        <v>0</v>
      </c>
      <c r="F60" s="9">
        <f t="shared" si="21"/>
        <v>0</v>
      </c>
      <c r="G60" s="38">
        <v>0</v>
      </c>
      <c r="H60" s="74">
        <v>0</v>
      </c>
      <c r="I60" s="74">
        <v>0</v>
      </c>
      <c r="J60" s="9">
        <f t="shared" si="18"/>
        <v>0</v>
      </c>
      <c r="K60" s="74">
        <v>0</v>
      </c>
      <c r="L60" s="74">
        <v>0</v>
      </c>
      <c r="M60" s="74">
        <v>0</v>
      </c>
      <c r="N60" s="9">
        <f t="shared" si="19"/>
        <v>0</v>
      </c>
      <c r="O60" s="32">
        <v>0</v>
      </c>
      <c r="P60" s="74">
        <v>0</v>
      </c>
      <c r="Q60" s="106">
        <v>0</v>
      </c>
      <c r="R60" s="9">
        <v>0</v>
      </c>
      <c r="S60" s="108">
        <f t="shared" si="7"/>
        <v>0</v>
      </c>
    </row>
    <row r="61" spans="1:19" s="1" customFormat="1" ht="25.5" x14ac:dyDescent="0.25">
      <c r="A61" s="88">
        <v>15</v>
      </c>
      <c r="B61" s="97" t="s">
        <v>43</v>
      </c>
      <c r="C61" s="38">
        <v>20800</v>
      </c>
      <c r="D61" s="74">
        <v>23500</v>
      </c>
      <c r="E61" s="32">
        <v>20500</v>
      </c>
      <c r="F61" s="9">
        <f t="shared" si="21"/>
        <v>64800</v>
      </c>
      <c r="G61" s="38">
        <v>12200</v>
      </c>
      <c r="H61" s="74">
        <v>9500</v>
      </c>
      <c r="I61" s="74">
        <v>400</v>
      </c>
      <c r="J61" s="9">
        <f t="shared" si="18"/>
        <v>22100</v>
      </c>
      <c r="K61" s="74">
        <v>100</v>
      </c>
      <c r="L61" s="74">
        <v>100</v>
      </c>
      <c r="M61" s="74">
        <f>3500+3400</f>
        <v>6900</v>
      </c>
      <c r="N61" s="9">
        <f t="shared" si="19"/>
        <v>7100</v>
      </c>
      <c r="O61" s="32">
        <f>12800+300</f>
        <v>13100</v>
      </c>
      <c r="P61" s="74">
        <f>20900+300</f>
        <v>21200</v>
      </c>
      <c r="Q61" s="106">
        <f>23200+300</f>
        <v>23500</v>
      </c>
      <c r="R61" s="9">
        <f t="shared" si="20"/>
        <v>57800</v>
      </c>
      <c r="S61" s="108">
        <f t="shared" si="7"/>
        <v>151800</v>
      </c>
    </row>
    <row r="62" spans="1:19" s="1" customFormat="1" ht="25.5" x14ac:dyDescent="0.25">
      <c r="A62" s="88">
        <v>16</v>
      </c>
      <c r="B62" s="89" t="s">
        <v>44</v>
      </c>
      <c r="C62" s="38">
        <v>6000</v>
      </c>
      <c r="D62" s="74">
        <v>5500</v>
      </c>
      <c r="E62" s="32">
        <v>5500</v>
      </c>
      <c r="F62" s="9">
        <f t="shared" si="21"/>
        <v>17000</v>
      </c>
      <c r="G62" s="38">
        <v>4000</v>
      </c>
      <c r="H62" s="74">
        <v>2000</v>
      </c>
      <c r="I62" s="74">
        <v>200</v>
      </c>
      <c r="J62" s="9">
        <f t="shared" si="18"/>
        <v>6200</v>
      </c>
      <c r="K62" s="74">
        <v>0</v>
      </c>
      <c r="L62" s="74">
        <v>0</v>
      </c>
      <c r="M62" s="74">
        <v>1200</v>
      </c>
      <c r="N62" s="9">
        <f t="shared" si="19"/>
        <v>1200</v>
      </c>
      <c r="O62" s="32">
        <v>4000</v>
      </c>
      <c r="P62" s="74">
        <v>4700</v>
      </c>
      <c r="Q62" s="106">
        <v>4500</v>
      </c>
      <c r="R62" s="9">
        <f t="shared" si="20"/>
        <v>13200</v>
      </c>
      <c r="S62" s="108">
        <f t="shared" si="7"/>
        <v>37600</v>
      </c>
    </row>
    <row r="63" spans="1:19" s="1" customFormat="1" ht="25.5" x14ac:dyDescent="0.25">
      <c r="A63" s="88">
        <v>17</v>
      </c>
      <c r="B63" s="97" t="s">
        <v>45</v>
      </c>
      <c r="C63" s="38">
        <v>7450</v>
      </c>
      <c r="D63" s="74">
        <v>6600</v>
      </c>
      <c r="E63" s="32">
        <v>4600</v>
      </c>
      <c r="F63" s="9">
        <f t="shared" si="21"/>
        <v>18650</v>
      </c>
      <c r="G63" s="38">
        <v>3700</v>
      </c>
      <c r="H63" s="74">
        <v>2100</v>
      </c>
      <c r="I63" s="74">
        <v>400</v>
      </c>
      <c r="J63" s="9">
        <f t="shared" si="18"/>
        <v>6200</v>
      </c>
      <c r="K63" s="74">
        <v>100</v>
      </c>
      <c r="L63" s="74">
        <v>100</v>
      </c>
      <c r="M63" s="74">
        <f>1500+300</f>
        <v>1800</v>
      </c>
      <c r="N63" s="9">
        <f t="shared" si="19"/>
        <v>2000</v>
      </c>
      <c r="O63" s="32">
        <f>3600+300</f>
        <v>3900</v>
      </c>
      <c r="P63" s="74">
        <f>5000+800</f>
        <v>5800</v>
      </c>
      <c r="Q63" s="106">
        <f>6300+600</f>
        <v>6900</v>
      </c>
      <c r="R63" s="9">
        <f t="shared" si="20"/>
        <v>16600</v>
      </c>
      <c r="S63" s="108">
        <f t="shared" si="7"/>
        <v>43450</v>
      </c>
    </row>
    <row r="64" spans="1:19" s="1" customFormat="1" ht="25.5" x14ac:dyDescent="0.25">
      <c r="A64" s="88">
        <v>18</v>
      </c>
      <c r="B64" s="97" t="s">
        <v>46</v>
      </c>
      <c r="C64" s="38">
        <v>19000</v>
      </c>
      <c r="D64" s="74">
        <v>21700</v>
      </c>
      <c r="E64" s="32">
        <v>17500</v>
      </c>
      <c r="F64" s="9">
        <f t="shared" si="21"/>
        <v>58200</v>
      </c>
      <c r="G64" s="38">
        <v>10100</v>
      </c>
      <c r="H64" s="74">
        <v>6000</v>
      </c>
      <c r="I64" s="74">
        <v>1000</v>
      </c>
      <c r="J64" s="9">
        <f t="shared" si="18"/>
        <v>17100</v>
      </c>
      <c r="K64" s="74">
        <v>0</v>
      </c>
      <c r="L64" s="74">
        <v>200</v>
      </c>
      <c r="M64" s="74">
        <f>4500+300</f>
        <v>4800</v>
      </c>
      <c r="N64" s="9">
        <f t="shared" si="19"/>
        <v>5000</v>
      </c>
      <c r="O64" s="32">
        <f>9900+300</f>
        <v>10200</v>
      </c>
      <c r="P64" s="74">
        <f>15600+300</f>
        <v>15900</v>
      </c>
      <c r="Q64" s="106">
        <f>19500+300</f>
        <v>19800</v>
      </c>
      <c r="R64" s="9">
        <f t="shared" si="20"/>
        <v>45900</v>
      </c>
      <c r="S64" s="108">
        <f t="shared" si="7"/>
        <v>126200</v>
      </c>
    </row>
    <row r="65" spans="1:19" s="1" customFormat="1" ht="25.5" x14ac:dyDescent="0.25">
      <c r="A65" s="86"/>
      <c r="B65" s="96" t="s">
        <v>47</v>
      </c>
      <c r="C65" s="36">
        <f t="shared" ref="C65:S65" si="22">C66+C67+C68+C69+C70+C71+C72+C73+C74+C75+C76+C77+C78+C79+C80+C81+C82+C83+C84+C85+C86+C87</f>
        <v>203000</v>
      </c>
      <c r="D65" s="11">
        <f t="shared" si="22"/>
        <v>212950</v>
      </c>
      <c r="E65" s="11">
        <f t="shared" si="22"/>
        <v>192500</v>
      </c>
      <c r="F65" s="11">
        <f t="shared" si="22"/>
        <v>608450</v>
      </c>
      <c r="G65" s="11">
        <f t="shared" si="22"/>
        <v>142300</v>
      </c>
      <c r="H65" s="11">
        <f t="shared" si="22"/>
        <v>101400</v>
      </c>
      <c r="I65" s="11">
        <f t="shared" si="22"/>
        <v>45450</v>
      </c>
      <c r="J65" s="11">
        <f t="shared" si="22"/>
        <v>292550</v>
      </c>
      <c r="K65" s="11">
        <f t="shared" si="22"/>
        <v>13650</v>
      </c>
      <c r="L65" s="11">
        <f t="shared" si="22"/>
        <v>15345</v>
      </c>
      <c r="M65" s="11">
        <f t="shared" si="22"/>
        <v>106102</v>
      </c>
      <c r="N65" s="11">
        <f t="shared" si="22"/>
        <v>135097</v>
      </c>
      <c r="O65" s="30">
        <f t="shared" si="22"/>
        <v>145503</v>
      </c>
      <c r="P65" s="11">
        <f t="shared" si="22"/>
        <v>194400</v>
      </c>
      <c r="Q65" s="14">
        <f t="shared" si="22"/>
        <v>218562</v>
      </c>
      <c r="R65" s="11">
        <f t="shared" si="22"/>
        <v>558465</v>
      </c>
      <c r="S65" s="36">
        <f t="shared" si="22"/>
        <v>1591162</v>
      </c>
    </row>
    <row r="66" spans="1:19" s="1" customFormat="1" ht="25.5" x14ac:dyDescent="0.25">
      <c r="A66" s="88">
        <v>1</v>
      </c>
      <c r="B66" s="89" t="s">
        <v>48</v>
      </c>
      <c r="C66" s="38">
        <v>5000</v>
      </c>
      <c r="D66" s="74">
        <v>5300</v>
      </c>
      <c r="E66" s="32">
        <v>5100</v>
      </c>
      <c r="F66" s="9">
        <f t="shared" si="21"/>
        <v>15400</v>
      </c>
      <c r="G66" s="38">
        <v>3600</v>
      </c>
      <c r="H66" s="74">
        <v>3300</v>
      </c>
      <c r="I66" s="74">
        <v>3300</v>
      </c>
      <c r="J66" s="9">
        <v>13600</v>
      </c>
      <c r="K66" s="74">
        <v>500</v>
      </c>
      <c r="L66" s="74">
        <f>500+932</f>
        <v>1432</v>
      </c>
      <c r="M66" s="74">
        <v>3800</v>
      </c>
      <c r="N66" s="9">
        <f>K66+L66+M66</f>
        <v>5732</v>
      </c>
      <c r="O66" s="32">
        <v>3600</v>
      </c>
      <c r="P66" s="74">
        <v>5100</v>
      </c>
      <c r="Q66" s="106">
        <v>5400</v>
      </c>
      <c r="R66" s="9">
        <f>O66+P66+Q66</f>
        <v>14100</v>
      </c>
      <c r="S66" s="108">
        <f t="shared" si="7"/>
        <v>45432</v>
      </c>
    </row>
    <row r="67" spans="1:19" s="1" customFormat="1" x14ac:dyDescent="0.25">
      <c r="A67" s="88">
        <v>2</v>
      </c>
      <c r="B67" s="89" t="s">
        <v>49</v>
      </c>
      <c r="C67" s="38">
        <v>13000</v>
      </c>
      <c r="D67" s="74">
        <v>14000</v>
      </c>
      <c r="E67" s="32">
        <v>12000</v>
      </c>
      <c r="F67" s="9">
        <f>C67+D67+E67</f>
        <v>39000</v>
      </c>
      <c r="G67" s="38">
        <v>12000</v>
      </c>
      <c r="H67" s="74">
        <v>10300</v>
      </c>
      <c r="I67" s="74">
        <v>2500</v>
      </c>
      <c r="J67" s="9">
        <f>G67+H67+I67</f>
        <v>24800</v>
      </c>
      <c r="K67" s="74">
        <v>1000</v>
      </c>
      <c r="L67" s="74">
        <f>350+2296</f>
        <v>2646</v>
      </c>
      <c r="M67" s="74">
        <v>10300</v>
      </c>
      <c r="N67" s="9">
        <f>K67+L67+M67</f>
        <v>13946</v>
      </c>
      <c r="O67" s="32">
        <v>12000</v>
      </c>
      <c r="P67" s="74">
        <v>12000</v>
      </c>
      <c r="Q67" s="106">
        <v>13000</v>
      </c>
      <c r="R67" s="9">
        <f>O67+P67+Q67</f>
        <v>37000</v>
      </c>
      <c r="S67" s="108">
        <f>C67+D67+E67+G67+H67+I67+K67+L67+M67+O67+P67+Q67</f>
        <v>114746</v>
      </c>
    </row>
    <row r="68" spans="1:19" s="1" customFormat="1" ht="25.5" customHeight="1" x14ac:dyDescent="0.25">
      <c r="A68" s="88">
        <v>3</v>
      </c>
      <c r="B68" s="89" t="s">
        <v>50</v>
      </c>
      <c r="C68" s="63">
        <v>13000</v>
      </c>
      <c r="D68" s="60">
        <v>13000</v>
      </c>
      <c r="E68" s="61">
        <v>7600</v>
      </c>
      <c r="F68" s="62">
        <f t="shared" ref="F68" si="23">SUM(C68:E68)</f>
        <v>33600</v>
      </c>
      <c r="G68" s="63">
        <v>7600</v>
      </c>
      <c r="H68" s="60">
        <v>6700</v>
      </c>
      <c r="I68" s="60">
        <v>5200</v>
      </c>
      <c r="J68" s="64">
        <f t="shared" ref="J68" si="24">SUM(G68:I68)</f>
        <v>19500</v>
      </c>
      <c r="K68" s="60">
        <v>500</v>
      </c>
      <c r="L68" s="60">
        <f>500+430</f>
        <v>930</v>
      </c>
      <c r="M68" s="60">
        <v>7000</v>
      </c>
      <c r="N68" s="64">
        <f t="shared" ref="N68" si="25">SUM(K68:M68)</f>
        <v>8430</v>
      </c>
      <c r="O68" s="107">
        <v>8000</v>
      </c>
      <c r="P68" s="123">
        <v>11000</v>
      </c>
      <c r="Q68" s="117">
        <v>14100</v>
      </c>
      <c r="R68" s="15">
        <f t="shared" ref="R68" si="26">SUM(O68:Q68)</f>
        <v>33100</v>
      </c>
      <c r="S68" s="108">
        <f t="shared" si="7"/>
        <v>94630</v>
      </c>
    </row>
    <row r="69" spans="1:19" s="1" customFormat="1" x14ac:dyDescent="0.25">
      <c r="A69" s="88">
        <v>4</v>
      </c>
      <c r="B69" s="89" t="s">
        <v>51</v>
      </c>
      <c r="C69" s="38">
        <v>4300</v>
      </c>
      <c r="D69" s="74">
        <v>5000</v>
      </c>
      <c r="E69" s="32">
        <v>4300</v>
      </c>
      <c r="F69" s="9">
        <f t="shared" si="21"/>
        <v>13600</v>
      </c>
      <c r="G69" s="38">
        <v>3500</v>
      </c>
      <c r="H69" s="74">
        <v>3400</v>
      </c>
      <c r="I69" s="74">
        <v>3300</v>
      </c>
      <c r="J69" s="9">
        <f t="shared" ref="J69:J87" si="27">G69+H69+I69</f>
        <v>10200</v>
      </c>
      <c r="K69" s="74">
        <v>1000</v>
      </c>
      <c r="L69" s="74">
        <v>500</v>
      </c>
      <c r="M69" s="78">
        <v>3500</v>
      </c>
      <c r="N69" s="141">
        <f t="shared" ref="N69:N87" si="28">K69+L69+M69</f>
        <v>5000</v>
      </c>
      <c r="O69" s="139">
        <f>3600+178</f>
        <v>3778</v>
      </c>
      <c r="P69" s="74">
        <v>5000</v>
      </c>
      <c r="Q69" s="106">
        <v>5500</v>
      </c>
      <c r="R69" s="9">
        <f t="shared" ref="R69:R87" si="29">O69+P69+Q69</f>
        <v>14278</v>
      </c>
      <c r="S69" s="108">
        <f t="shared" si="7"/>
        <v>43078</v>
      </c>
    </row>
    <row r="70" spans="1:19" s="1" customFormat="1" x14ac:dyDescent="0.25">
      <c r="A70" s="88">
        <v>5</v>
      </c>
      <c r="B70" s="99" t="s">
        <v>52</v>
      </c>
      <c r="C70" s="38">
        <v>6700</v>
      </c>
      <c r="D70" s="74">
        <v>8100</v>
      </c>
      <c r="E70" s="32">
        <v>7000</v>
      </c>
      <c r="F70" s="9">
        <f t="shared" si="21"/>
        <v>21800</v>
      </c>
      <c r="G70" s="38">
        <v>7000</v>
      </c>
      <c r="H70" s="74">
        <v>3500</v>
      </c>
      <c r="I70" s="74">
        <v>4600</v>
      </c>
      <c r="J70" s="9">
        <f t="shared" si="27"/>
        <v>15100</v>
      </c>
      <c r="K70" s="74">
        <v>1700</v>
      </c>
      <c r="L70" s="74">
        <f>600+531</f>
        <v>1131</v>
      </c>
      <c r="M70" s="78">
        <f>5000+945</f>
        <v>5945</v>
      </c>
      <c r="N70" s="141">
        <f t="shared" si="28"/>
        <v>8776</v>
      </c>
      <c r="O70" s="139">
        <f>5400+455</f>
        <v>5855</v>
      </c>
      <c r="P70" s="74">
        <v>6600</v>
      </c>
      <c r="Q70" s="106">
        <f>6700+558</f>
        <v>7258</v>
      </c>
      <c r="R70" s="9">
        <f t="shared" si="29"/>
        <v>19713</v>
      </c>
      <c r="S70" s="108">
        <f t="shared" si="7"/>
        <v>65389</v>
      </c>
    </row>
    <row r="71" spans="1:19" s="1" customFormat="1" ht="25.5" x14ac:dyDescent="0.25">
      <c r="A71" s="88">
        <v>6</v>
      </c>
      <c r="B71" s="99" t="s">
        <v>53</v>
      </c>
      <c r="C71" s="38">
        <v>15700</v>
      </c>
      <c r="D71" s="74">
        <v>16850</v>
      </c>
      <c r="E71" s="32">
        <v>18200</v>
      </c>
      <c r="F71" s="9">
        <f t="shared" si="21"/>
        <v>50750</v>
      </c>
      <c r="G71" s="38">
        <v>12900</v>
      </c>
      <c r="H71" s="74">
        <v>10500</v>
      </c>
      <c r="I71" s="74">
        <v>850</v>
      </c>
      <c r="J71" s="9">
        <f t="shared" si="27"/>
        <v>24250</v>
      </c>
      <c r="K71" s="74">
        <v>300</v>
      </c>
      <c r="L71" s="74">
        <f>270+290</f>
        <v>560</v>
      </c>
      <c r="M71" s="78">
        <v>10200</v>
      </c>
      <c r="N71" s="141">
        <f t="shared" si="28"/>
        <v>11060</v>
      </c>
      <c r="O71" s="139">
        <v>15000</v>
      </c>
      <c r="P71" s="74">
        <v>19500</v>
      </c>
      <c r="Q71" s="106">
        <v>19700</v>
      </c>
      <c r="R71" s="9">
        <f t="shared" si="29"/>
        <v>54200</v>
      </c>
      <c r="S71" s="108">
        <f t="shared" si="7"/>
        <v>140260</v>
      </c>
    </row>
    <row r="72" spans="1:19" s="1" customFormat="1" ht="25.5" x14ac:dyDescent="0.25">
      <c r="A72" s="88">
        <v>7</v>
      </c>
      <c r="B72" s="99" t="s">
        <v>54</v>
      </c>
      <c r="C72" s="38">
        <v>3000</v>
      </c>
      <c r="D72" s="74">
        <v>3000</v>
      </c>
      <c r="E72" s="32">
        <v>3300</v>
      </c>
      <c r="F72" s="9">
        <f t="shared" si="21"/>
        <v>9300</v>
      </c>
      <c r="G72" s="38">
        <v>3000</v>
      </c>
      <c r="H72" s="74">
        <v>2200</v>
      </c>
      <c r="I72" s="74">
        <v>2200</v>
      </c>
      <c r="J72" s="9">
        <f t="shared" si="27"/>
        <v>7400</v>
      </c>
      <c r="K72" s="74">
        <v>900</v>
      </c>
      <c r="L72" s="74">
        <f>500+946</f>
        <v>1446</v>
      </c>
      <c r="M72" s="78">
        <f>2100+596</f>
        <v>2696</v>
      </c>
      <c r="N72" s="141">
        <f t="shared" si="28"/>
        <v>5042</v>
      </c>
      <c r="O72" s="139">
        <v>2300</v>
      </c>
      <c r="P72" s="74">
        <v>3000</v>
      </c>
      <c r="Q72" s="106">
        <v>4100</v>
      </c>
      <c r="R72" s="9">
        <f t="shared" si="29"/>
        <v>9400</v>
      </c>
      <c r="S72" s="108">
        <f t="shared" si="7"/>
        <v>31142</v>
      </c>
    </row>
    <row r="73" spans="1:19" s="1" customFormat="1" x14ac:dyDescent="0.25">
      <c r="A73" s="88">
        <v>8</v>
      </c>
      <c r="B73" s="99" t="s">
        <v>55</v>
      </c>
      <c r="C73" s="38">
        <v>13000</v>
      </c>
      <c r="D73" s="74">
        <v>16000</v>
      </c>
      <c r="E73" s="32">
        <v>12000</v>
      </c>
      <c r="F73" s="9">
        <f t="shared" si="21"/>
        <v>41000</v>
      </c>
      <c r="G73" s="38">
        <v>12000</v>
      </c>
      <c r="H73" s="74">
        <v>12000</v>
      </c>
      <c r="I73" s="74">
        <v>2500</v>
      </c>
      <c r="J73" s="9">
        <f t="shared" si="27"/>
        <v>26500</v>
      </c>
      <c r="K73" s="74">
        <v>2600</v>
      </c>
      <c r="L73" s="74">
        <v>2000</v>
      </c>
      <c r="M73" s="78">
        <v>7000</v>
      </c>
      <c r="N73" s="141">
        <f t="shared" si="28"/>
        <v>11600</v>
      </c>
      <c r="O73" s="139">
        <v>11000</v>
      </c>
      <c r="P73" s="74">
        <v>12000</v>
      </c>
      <c r="Q73" s="106">
        <v>13000</v>
      </c>
      <c r="R73" s="9">
        <f t="shared" si="29"/>
        <v>36000</v>
      </c>
      <c r="S73" s="108">
        <f t="shared" si="7"/>
        <v>115100</v>
      </c>
    </row>
    <row r="74" spans="1:19" s="1" customFormat="1" ht="25.5" x14ac:dyDescent="0.25">
      <c r="A74" s="88">
        <v>9</v>
      </c>
      <c r="B74" s="99" t="s">
        <v>56</v>
      </c>
      <c r="C74" s="38">
        <v>13000</v>
      </c>
      <c r="D74" s="74">
        <v>14500</v>
      </c>
      <c r="E74" s="32">
        <v>16000</v>
      </c>
      <c r="F74" s="9">
        <f t="shared" si="21"/>
        <v>43500</v>
      </c>
      <c r="G74" s="38">
        <v>13000</v>
      </c>
      <c r="H74" s="74">
        <v>12000</v>
      </c>
      <c r="I74" s="74">
        <v>12700</v>
      </c>
      <c r="J74" s="9">
        <f t="shared" si="27"/>
        <v>37700</v>
      </c>
      <c r="K74" s="74">
        <v>3000</v>
      </c>
      <c r="L74" s="74">
        <v>3000</v>
      </c>
      <c r="M74" s="74">
        <v>13200</v>
      </c>
      <c r="N74" s="9">
        <f t="shared" si="28"/>
        <v>19200</v>
      </c>
      <c r="O74" s="32">
        <v>14800</v>
      </c>
      <c r="P74" s="74">
        <v>14600</v>
      </c>
      <c r="Q74" s="106">
        <v>15000</v>
      </c>
      <c r="R74" s="9">
        <f t="shared" si="29"/>
        <v>44400</v>
      </c>
      <c r="S74" s="108">
        <f t="shared" si="7"/>
        <v>144800</v>
      </c>
    </row>
    <row r="75" spans="1:19" s="1" customFormat="1" ht="26.25" customHeight="1" x14ac:dyDescent="0.25">
      <c r="A75" s="88">
        <v>10</v>
      </c>
      <c r="B75" s="89" t="s">
        <v>57</v>
      </c>
      <c r="C75" s="38">
        <v>10500</v>
      </c>
      <c r="D75" s="74">
        <v>11000</v>
      </c>
      <c r="E75" s="32">
        <v>8500</v>
      </c>
      <c r="F75" s="9">
        <f t="shared" si="21"/>
        <v>30000</v>
      </c>
      <c r="G75" s="38">
        <v>4800</v>
      </c>
      <c r="H75" s="74">
        <v>2500</v>
      </c>
      <c r="I75" s="74">
        <v>500</v>
      </c>
      <c r="J75" s="9">
        <f t="shared" si="27"/>
        <v>7800</v>
      </c>
      <c r="K75" s="74">
        <v>100</v>
      </c>
      <c r="L75" s="74">
        <v>150</v>
      </c>
      <c r="M75" s="74">
        <v>2500</v>
      </c>
      <c r="N75" s="9">
        <f t="shared" si="28"/>
        <v>2750</v>
      </c>
      <c r="O75" s="32">
        <v>4200</v>
      </c>
      <c r="P75" s="74">
        <v>8000</v>
      </c>
      <c r="Q75" s="106">
        <v>10000</v>
      </c>
      <c r="R75" s="9">
        <f t="shared" si="29"/>
        <v>22200</v>
      </c>
      <c r="S75" s="108">
        <f t="shared" ref="S75:S105" si="30">C75+D75+E75+G75+H75+I75+K75+L75+M75+O75+P75+Q75</f>
        <v>62750</v>
      </c>
    </row>
    <row r="76" spans="1:19" s="1" customFormat="1" x14ac:dyDescent="0.25">
      <c r="A76" s="88">
        <v>11</v>
      </c>
      <c r="B76" s="89" t="s">
        <v>58</v>
      </c>
      <c r="C76" s="38">
        <v>8300</v>
      </c>
      <c r="D76" s="74">
        <v>8400</v>
      </c>
      <c r="E76" s="32">
        <v>7000</v>
      </c>
      <c r="F76" s="9">
        <f t="shared" si="21"/>
        <v>23700</v>
      </c>
      <c r="G76" s="38">
        <v>5000</v>
      </c>
      <c r="H76" s="74">
        <v>3000</v>
      </c>
      <c r="I76" s="74">
        <v>600</v>
      </c>
      <c r="J76" s="9">
        <f t="shared" si="27"/>
        <v>8600</v>
      </c>
      <c r="K76" s="74">
        <v>150</v>
      </c>
      <c r="L76" s="74">
        <v>100</v>
      </c>
      <c r="M76" s="74">
        <v>3000</v>
      </c>
      <c r="N76" s="9">
        <f t="shared" si="28"/>
        <v>3250</v>
      </c>
      <c r="O76" s="32">
        <v>4700</v>
      </c>
      <c r="P76" s="74">
        <v>7500</v>
      </c>
      <c r="Q76" s="106">
        <v>8300</v>
      </c>
      <c r="R76" s="9">
        <f t="shared" si="29"/>
        <v>20500</v>
      </c>
      <c r="S76" s="108">
        <f t="shared" si="30"/>
        <v>56050</v>
      </c>
    </row>
    <row r="77" spans="1:19" s="1" customFormat="1" ht="29.25" customHeight="1" x14ac:dyDescent="0.25">
      <c r="A77" s="88">
        <v>12</v>
      </c>
      <c r="B77" s="89" t="s">
        <v>59</v>
      </c>
      <c r="C77" s="38">
        <v>13000</v>
      </c>
      <c r="D77" s="74">
        <v>13300</v>
      </c>
      <c r="E77" s="32">
        <v>10500</v>
      </c>
      <c r="F77" s="9">
        <f t="shared" si="21"/>
        <v>36800</v>
      </c>
      <c r="G77" s="38">
        <v>5800</v>
      </c>
      <c r="H77" s="74">
        <v>2500</v>
      </c>
      <c r="I77" s="74">
        <v>500</v>
      </c>
      <c r="J77" s="9">
        <f t="shared" si="27"/>
        <v>8800</v>
      </c>
      <c r="K77" s="74">
        <v>100</v>
      </c>
      <c r="L77" s="74">
        <v>50</v>
      </c>
      <c r="M77" s="74">
        <v>2600</v>
      </c>
      <c r="N77" s="9">
        <f t="shared" si="28"/>
        <v>2750</v>
      </c>
      <c r="O77" s="32">
        <v>5400</v>
      </c>
      <c r="P77" s="74">
        <v>10500</v>
      </c>
      <c r="Q77" s="106">
        <v>13000</v>
      </c>
      <c r="R77" s="9">
        <f t="shared" si="29"/>
        <v>28900</v>
      </c>
      <c r="S77" s="108">
        <f t="shared" si="30"/>
        <v>77250</v>
      </c>
    </row>
    <row r="78" spans="1:19" s="1" customFormat="1" ht="30" customHeight="1" x14ac:dyDescent="0.25">
      <c r="A78" s="88">
        <v>13</v>
      </c>
      <c r="B78" s="89" t="s">
        <v>60</v>
      </c>
      <c r="C78" s="38">
        <v>2200</v>
      </c>
      <c r="D78" s="74">
        <v>2600</v>
      </c>
      <c r="E78" s="32">
        <v>2800</v>
      </c>
      <c r="F78" s="9">
        <f t="shared" si="21"/>
        <v>7600</v>
      </c>
      <c r="G78" s="38">
        <v>2300</v>
      </c>
      <c r="H78" s="74">
        <v>2000</v>
      </c>
      <c r="I78" s="74">
        <v>1700</v>
      </c>
      <c r="J78" s="9">
        <f t="shared" si="27"/>
        <v>6000</v>
      </c>
      <c r="K78" s="74">
        <v>500</v>
      </c>
      <c r="L78" s="74">
        <v>500</v>
      </c>
      <c r="M78" s="74">
        <v>2000</v>
      </c>
      <c r="N78" s="9">
        <f t="shared" si="28"/>
        <v>3000</v>
      </c>
      <c r="O78" s="32">
        <v>2200</v>
      </c>
      <c r="P78" s="74">
        <v>2900</v>
      </c>
      <c r="Q78" s="106">
        <v>3000</v>
      </c>
      <c r="R78" s="9">
        <f t="shared" si="29"/>
        <v>8100</v>
      </c>
      <c r="S78" s="108">
        <f t="shared" si="30"/>
        <v>24700</v>
      </c>
    </row>
    <row r="79" spans="1:19" s="1" customFormat="1" ht="25.5" x14ac:dyDescent="0.25">
      <c r="A79" s="88">
        <v>14</v>
      </c>
      <c r="B79" s="89" t="s">
        <v>61</v>
      </c>
      <c r="C79" s="38">
        <v>11000</v>
      </c>
      <c r="D79" s="74">
        <v>11300</v>
      </c>
      <c r="E79" s="32">
        <v>12000</v>
      </c>
      <c r="F79" s="9">
        <f t="shared" si="21"/>
        <v>34300</v>
      </c>
      <c r="G79" s="38">
        <v>6600</v>
      </c>
      <c r="H79" s="74">
        <v>3500</v>
      </c>
      <c r="I79" s="74">
        <v>500</v>
      </c>
      <c r="J79" s="9">
        <f t="shared" si="27"/>
        <v>10600</v>
      </c>
      <c r="K79" s="74">
        <v>100</v>
      </c>
      <c r="L79" s="74">
        <v>100</v>
      </c>
      <c r="M79" s="74">
        <v>3500</v>
      </c>
      <c r="N79" s="9">
        <f t="shared" si="28"/>
        <v>3700</v>
      </c>
      <c r="O79" s="32">
        <v>6400</v>
      </c>
      <c r="P79" s="74">
        <v>11000</v>
      </c>
      <c r="Q79" s="106">
        <v>11000</v>
      </c>
      <c r="R79" s="9">
        <f t="shared" si="29"/>
        <v>28400</v>
      </c>
      <c r="S79" s="108">
        <f t="shared" si="30"/>
        <v>77000</v>
      </c>
    </row>
    <row r="80" spans="1:19" s="1" customFormat="1" ht="25.5" x14ac:dyDescent="0.25">
      <c r="A80" s="88">
        <v>15</v>
      </c>
      <c r="B80" s="89" t="s">
        <v>62</v>
      </c>
      <c r="C80" s="38">
        <v>8500</v>
      </c>
      <c r="D80" s="74">
        <v>9000</v>
      </c>
      <c r="E80" s="68">
        <v>8500</v>
      </c>
      <c r="F80" s="9">
        <f t="shared" si="21"/>
        <v>26000</v>
      </c>
      <c r="G80" s="72">
        <v>5200</v>
      </c>
      <c r="H80" s="66">
        <v>3000</v>
      </c>
      <c r="I80" s="66">
        <v>1000</v>
      </c>
      <c r="J80" s="9">
        <f t="shared" si="27"/>
        <v>9200</v>
      </c>
      <c r="K80" s="66">
        <v>100</v>
      </c>
      <c r="L80" s="66">
        <v>100</v>
      </c>
      <c r="M80" s="74">
        <v>2500</v>
      </c>
      <c r="N80" s="9">
        <f t="shared" si="28"/>
        <v>2700</v>
      </c>
      <c r="O80" s="32">
        <v>5200</v>
      </c>
      <c r="P80" s="74">
        <v>8500</v>
      </c>
      <c r="Q80" s="106">
        <v>9000</v>
      </c>
      <c r="R80" s="9">
        <f t="shared" si="29"/>
        <v>22700</v>
      </c>
      <c r="S80" s="108">
        <f t="shared" si="30"/>
        <v>60600</v>
      </c>
    </row>
    <row r="81" spans="1:19" s="1" customFormat="1" ht="25.5" x14ac:dyDescent="0.25">
      <c r="A81" s="88">
        <v>16</v>
      </c>
      <c r="B81" s="89" t="s">
        <v>63</v>
      </c>
      <c r="C81" s="38">
        <v>1000</v>
      </c>
      <c r="D81" s="74">
        <v>1300</v>
      </c>
      <c r="E81" s="32">
        <v>1500</v>
      </c>
      <c r="F81" s="9">
        <f t="shared" si="21"/>
        <v>3800</v>
      </c>
      <c r="G81" s="38">
        <v>800</v>
      </c>
      <c r="H81" s="74">
        <v>700</v>
      </c>
      <c r="I81" s="74">
        <v>300</v>
      </c>
      <c r="J81" s="9">
        <f t="shared" si="27"/>
        <v>1800</v>
      </c>
      <c r="K81" s="74">
        <v>200</v>
      </c>
      <c r="L81" s="74">
        <v>50</v>
      </c>
      <c r="M81" s="74">
        <v>700</v>
      </c>
      <c r="N81" s="9">
        <f t="shared" si="28"/>
        <v>950</v>
      </c>
      <c r="O81" s="32">
        <v>800</v>
      </c>
      <c r="P81" s="74">
        <v>1000</v>
      </c>
      <c r="Q81" s="106">
        <v>1000</v>
      </c>
      <c r="R81" s="9">
        <f t="shared" si="29"/>
        <v>2800</v>
      </c>
      <c r="S81" s="108">
        <f t="shared" si="30"/>
        <v>9350</v>
      </c>
    </row>
    <row r="82" spans="1:19" s="1" customFormat="1" ht="25.5" x14ac:dyDescent="0.25">
      <c r="A82" s="88">
        <v>17</v>
      </c>
      <c r="B82" s="89" t="s">
        <v>64</v>
      </c>
      <c r="C82" s="38">
        <v>17000</v>
      </c>
      <c r="D82" s="74">
        <v>16500</v>
      </c>
      <c r="E82" s="69">
        <v>13000</v>
      </c>
      <c r="F82" s="9">
        <f t="shared" si="21"/>
        <v>46500</v>
      </c>
      <c r="G82" s="73">
        <v>7100</v>
      </c>
      <c r="H82" s="67">
        <v>4300</v>
      </c>
      <c r="I82" s="67">
        <v>1000</v>
      </c>
      <c r="J82" s="9">
        <f t="shared" si="27"/>
        <v>12400</v>
      </c>
      <c r="K82" s="67">
        <v>200</v>
      </c>
      <c r="L82" s="67">
        <v>100</v>
      </c>
      <c r="M82" s="78">
        <v>4500</v>
      </c>
      <c r="N82" s="141">
        <f t="shared" si="28"/>
        <v>4800</v>
      </c>
      <c r="O82" s="139">
        <f>7000+380</f>
        <v>7380</v>
      </c>
      <c r="P82" s="74">
        <v>14000</v>
      </c>
      <c r="Q82" s="106">
        <v>17000</v>
      </c>
      <c r="R82" s="9">
        <f t="shared" si="29"/>
        <v>38380</v>
      </c>
      <c r="S82" s="108">
        <f t="shared" si="30"/>
        <v>102080</v>
      </c>
    </row>
    <row r="83" spans="1:19" s="1" customFormat="1" ht="25.5" x14ac:dyDescent="0.25">
      <c r="A83" s="88">
        <v>18</v>
      </c>
      <c r="B83" s="89" t="s">
        <v>65</v>
      </c>
      <c r="C83" s="38">
        <v>19000</v>
      </c>
      <c r="D83" s="74">
        <v>17200</v>
      </c>
      <c r="E83" s="32">
        <v>15600</v>
      </c>
      <c r="F83" s="9">
        <f t="shared" si="21"/>
        <v>51800</v>
      </c>
      <c r="G83" s="38">
        <v>10000</v>
      </c>
      <c r="H83" s="74">
        <v>2100</v>
      </c>
      <c r="I83" s="74">
        <v>300</v>
      </c>
      <c r="J83" s="9">
        <f t="shared" si="27"/>
        <v>12400</v>
      </c>
      <c r="K83" s="74">
        <v>100</v>
      </c>
      <c r="L83" s="74">
        <v>100</v>
      </c>
      <c r="M83" s="78">
        <v>7500</v>
      </c>
      <c r="N83" s="141">
        <f t="shared" si="28"/>
        <v>7700</v>
      </c>
      <c r="O83" s="139">
        <f>10500+1890</f>
        <v>12390</v>
      </c>
      <c r="P83" s="74">
        <v>15000</v>
      </c>
      <c r="Q83" s="106">
        <f>19000+1760</f>
        <v>20760</v>
      </c>
      <c r="R83" s="9">
        <f t="shared" si="29"/>
        <v>48150</v>
      </c>
      <c r="S83" s="108">
        <f t="shared" si="30"/>
        <v>120050</v>
      </c>
    </row>
    <row r="84" spans="1:19" s="1" customFormat="1" ht="26.25" customHeight="1" x14ac:dyDescent="0.25">
      <c r="A84" s="88">
        <v>19</v>
      </c>
      <c r="B84" s="99" t="s">
        <v>66</v>
      </c>
      <c r="C84" s="38">
        <v>4000</v>
      </c>
      <c r="D84" s="74">
        <v>4200</v>
      </c>
      <c r="E84" s="32">
        <v>4600</v>
      </c>
      <c r="F84" s="9">
        <f t="shared" si="21"/>
        <v>12800</v>
      </c>
      <c r="G84" s="38">
        <v>3000</v>
      </c>
      <c r="H84" s="74">
        <v>2900</v>
      </c>
      <c r="I84" s="74">
        <v>1000</v>
      </c>
      <c r="J84" s="9">
        <f t="shared" si="27"/>
        <v>6900</v>
      </c>
      <c r="K84" s="74">
        <v>100</v>
      </c>
      <c r="L84" s="74">
        <v>100</v>
      </c>
      <c r="M84" s="78">
        <v>3100</v>
      </c>
      <c r="N84" s="141">
        <f t="shared" si="28"/>
        <v>3300</v>
      </c>
      <c r="O84" s="139">
        <v>3500</v>
      </c>
      <c r="P84" s="74">
        <v>4000</v>
      </c>
      <c r="Q84" s="106">
        <f>4600+44</f>
        <v>4644</v>
      </c>
      <c r="R84" s="9">
        <f t="shared" si="29"/>
        <v>12144</v>
      </c>
      <c r="S84" s="108">
        <f t="shared" si="30"/>
        <v>35144</v>
      </c>
    </row>
    <row r="85" spans="1:19" s="1" customFormat="1" ht="25.5" x14ac:dyDescent="0.25">
      <c r="A85" s="88">
        <v>20</v>
      </c>
      <c r="B85" s="89" t="s">
        <v>67</v>
      </c>
      <c r="C85" s="38">
        <v>12000</v>
      </c>
      <c r="D85" s="74">
        <v>12500</v>
      </c>
      <c r="E85" s="32">
        <v>12000</v>
      </c>
      <c r="F85" s="9">
        <f t="shared" si="21"/>
        <v>36500</v>
      </c>
      <c r="G85" s="38">
        <v>6900</v>
      </c>
      <c r="H85" s="74">
        <v>4000</v>
      </c>
      <c r="I85" s="74">
        <v>600</v>
      </c>
      <c r="J85" s="9">
        <f t="shared" si="27"/>
        <v>11500</v>
      </c>
      <c r="K85" s="74">
        <v>200</v>
      </c>
      <c r="L85" s="74">
        <v>50</v>
      </c>
      <c r="M85" s="78">
        <f>3200+461</f>
        <v>3661</v>
      </c>
      <c r="N85" s="141">
        <f t="shared" si="28"/>
        <v>3911</v>
      </c>
      <c r="O85" s="139">
        <v>6000</v>
      </c>
      <c r="P85" s="74">
        <v>12000</v>
      </c>
      <c r="Q85" s="106">
        <v>12000</v>
      </c>
      <c r="R85" s="9">
        <f t="shared" si="29"/>
        <v>30000</v>
      </c>
      <c r="S85" s="108">
        <f t="shared" si="30"/>
        <v>81911</v>
      </c>
    </row>
    <row r="86" spans="1:19" s="1" customFormat="1" ht="45" x14ac:dyDescent="0.25">
      <c r="A86" s="159">
        <v>21</v>
      </c>
      <c r="B86" s="100" t="s">
        <v>122</v>
      </c>
      <c r="C86" s="72">
        <v>6000</v>
      </c>
      <c r="D86" s="66">
        <v>6500</v>
      </c>
      <c r="E86" s="68">
        <v>7200</v>
      </c>
      <c r="F86" s="70">
        <f t="shared" si="21"/>
        <v>19700</v>
      </c>
      <c r="G86" s="72">
        <v>6500</v>
      </c>
      <c r="H86" s="66">
        <v>4500</v>
      </c>
      <c r="I86" s="66">
        <v>300</v>
      </c>
      <c r="J86" s="70">
        <f t="shared" si="27"/>
        <v>11300</v>
      </c>
      <c r="K86" s="66">
        <v>300</v>
      </c>
      <c r="L86" s="66">
        <v>300</v>
      </c>
      <c r="M86" s="142">
        <v>4500</v>
      </c>
      <c r="N86" s="143">
        <f t="shared" si="28"/>
        <v>5100</v>
      </c>
      <c r="O86" s="144">
        <v>7200</v>
      </c>
      <c r="P86" s="66">
        <v>7500</v>
      </c>
      <c r="Q86" s="118">
        <v>8000</v>
      </c>
      <c r="R86" s="9">
        <f t="shared" si="29"/>
        <v>22700</v>
      </c>
      <c r="S86" s="110">
        <f>F86+J86+N86+R86</f>
        <v>58800</v>
      </c>
    </row>
    <row r="87" spans="1:19" s="46" customFormat="1" ht="15.75" thickBot="1" x14ac:dyDescent="0.3">
      <c r="A87" s="194"/>
      <c r="B87" s="130" t="s">
        <v>89</v>
      </c>
      <c r="C87" s="131">
        <v>3800</v>
      </c>
      <c r="D87" s="132">
        <v>3400</v>
      </c>
      <c r="E87" s="132">
        <v>3800</v>
      </c>
      <c r="F87" s="133">
        <f t="shared" si="21"/>
        <v>11000</v>
      </c>
      <c r="G87" s="132">
        <v>3700</v>
      </c>
      <c r="H87" s="132">
        <v>2500</v>
      </c>
      <c r="I87" s="132">
        <v>0</v>
      </c>
      <c r="J87" s="133">
        <f t="shared" si="27"/>
        <v>6200</v>
      </c>
      <c r="K87" s="132">
        <v>0</v>
      </c>
      <c r="L87" s="132">
        <v>0</v>
      </c>
      <c r="M87" s="132">
        <v>2400</v>
      </c>
      <c r="N87" s="133">
        <f t="shared" si="28"/>
        <v>2400</v>
      </c>
      <c r="O87" s="134">
        <v>3800</v>
      </c>
      <c r="P87" s="135">
        <v>3700</v>
      </c>
      <c r="Q87" s="136">
        <v>3800</v>
      </c>
      <c r="R87" s="137">
        <f t="shared" si="29"/>
        <v>11300</v>
      </c>
      <c r="S87" s="138">
        <f t="shared" si="30"/>
        <v>30900</v>
      </c>
    </row>
    <row r="88" spans="1:19" s="46" customFormat="1" ht="15.75" thickBot="1" x14ac:dyDescent="0.3">
      <c r="A88" s="28"/>
      <c r="B88" s="124"/>
      <c r="C88" s="28"/>
      <c r="D88" s="28"/>
      <c r="E88" s="28"/>
      <c r="F88" s="125"/>
      <c r="G88" s="28"/>
      <c r="H88" s="28"/>
      <c r="I88" s="28"/>
      <c r="J88" s="125"/>
      <c r="K88" s="28"/>
      <c r="L88" s="28"/>
      <c r="M88" s="28"/>
      <c r="N88" s="125"/>
      <c r="O88" s="28"/>
      <c r="P88" s="28"/>
      <c r="Q88" s="28"/>
      <c r="R88" s="125"/>
      <c r="S88" s="65"/>
    </row>
    <row r="89" spans="1:19" s="1" customFormat="1" x14ac:dyDescent="0.25">
      <c r="A89" s="146" t="s">
        <v>0</v>
      </c>
      <c r="B89" s="148" t="s">
        <v>1</v>
      </c>
      <c r="C89" s="126" t="s">
        <v>68</v>
      </c>
      <c r="D89" s="127" t="s">
        <v>68</v>
      </c>
      <c r="E89" s="128" t="s">
        <v>68</v>
      </c>
      <c r="F89" s="127" t="s">
        <v>68</v>
      </c>
      <c r="G89" s="126" t="s">
        <v>68</v>
      </c>
      <c r="H89" s="127" t="s">
        <v>68</v>
      </c>
      <c r="I89" s="127" t="s">
        <v>68</v>
      </c>
      <c r="J89" s="127" t="s">
        <v>68</v>
      </c>
      <c r="K89" s="127" t="s">
        <v>68</v>
      </c>
      <c r="L89" s="127" t="s">
        <v>68</v>
      </c>
      <c r="M89" s="127" t="s">
        <v>68</v>
      </c>
      <c r="N89" s="127" t="s">
        <v>68</v>
      </c>
      <c r="O89" s="128" t="s">
        <v>68</v>
      </c>
      <c r="P89" s="127" t="s">
        <v>68</v>
      </c>
      <c r="Q89" s="129" t="s">
        <v>68</v>
      </c>
      <c r="R89" s="127" t="s">
        <v>68</v>
      </c>
      <c r="S89" s="126" t="s">
        <v>68</v>
      </c>
    </row>
    <row r="90" spans="1:19" s="1" customFormat="1" ht="25.5" x14ac:dyDescent="0.25">
      <c r="A90" s="147"/>
      <c r="B90" s="149"/>
      <c r="C90" s="37" t="s">
        <v>69</v>
      </c>
      <c r="D90" s="12" t="s">
        <v>70</v>
      </c>
      <c r="E90" s="31" t="s">
        <v>70</v>
      </c>
      <c r="F90" s="13" t="s">
        <v>70</v>
      </c>
      <c r="G90" s="37" t="s">
        <v>70</v>
      </c>
      <c r="H90" s="12" t="s">
        <v>70</v>
      </c>
      <c r="I90" s="12" t="s">
        <v>70</v>
      </c>
      <c r="J90" s="13" t="s">
        <v>70</v>
      </c>
      <c r="K90" s="12" t="s">
        <v>70</v>
      </c>
      <c r="L90" s="12" t="s">
        <v>70</v>
      </c>
      <c r="M90" s="12" t="s">
        <v>70</v>
      </c>
      <c r="N90" s="13" t="s">
        <v>70</v>
      </c>
      <c r="O90" s="31" t="s">
        <v>70</v>
      </c>
      <c r="P90" s="12" t="s">
        <v>70</v>
      </c>
      <c r="Q90" s="119" t="s">
        <v>70</v>
      </c>
      <c r="R90" s="82" t="s">
        <v>70</v>
      </c>
      <c r="S90" s="111" t="s">
        <v>70</v>
      </c>
    </row>
    <row r="91" spans="1:19" s="1" customFormat="1" ht="38.25" x14ac:dyDescent="0.25">
      <c r="A91" s="86"/>
      <c r="B91" s="96" t="s">
        <v>71</v>
      </c>
      <c r="C91" s="36">
        <f t="shared" ref="C91:Q91" si="31">SUM(C92:C95)</f>
        <v>18100</v>
      </c>
      <c r="D91" s="11">
        <f t="shared" si="31"/>
        <v>17610</v>
      </c>
      <c r="E91" s="30">
        <f t="shared" si="31"/>
        <v>13590</v>
      </c>
      <c r="F91" s="11">
        <f t="shared" si="31"/>
        <v>49300</v>
      </c>
      <c r="G91" s="36">
        <f t="shared" si="31"/>
        <v>10350</v>
      </c>
      <c r="H91" s="11">
        <f t="shared" si="31"/>
        <v>5750</v>
      </c>
      <c r="I91" s="11">
        <f t="shared" si="31"/>
        <v>4450</v>
      </c>
      <c r="J91" s="11">
        <f t="shared" si="31"/>
        <v>20550</v>
      </c>
      <c r="K91" s="11">
        <f t="shared" si="31"/>
        <v>11100</v>
      </c>
      <c r="L91" s="11">
        <f t="shared" si="31"/>
        <v>5600</v>
      </c>
      <c r="M91" s="11">
        <f t="shared" si="31"/>
        <v>5150</v>
      </c>
      <c r="N91" s="11">
        <f>M91+L91+K91</f>
        <v>21850</v>
      </c>
      <c r="O91" s="30">
        <f t="shared" si="31"/>
        <v>9577</v>
      </c>
      <c r="P91" s="11">
        <f t="shared" si="31"/>
        <v>13060</v>
      </c>
      <c r="Q91" s="14">
        <f t="shared" si="31"/>
        <v>18600</v>
      </c>
      <c r="R91" s="11">
        <f>O91+P91+Q91</f>
        <v>41237</v>
      </c>
      <c r="S91" s="109">
        <f t="shared" si="30"/>
        <v>132937</v>
      </c>
    </row>
    <row r="92" spans="1:19" s="1" customFormat="1" ht="38.25" x14ac:dyDescent="0.25">
      <c r="A92" s="88">
        <v>1</v>
      </c>
      <c r="B92" s="101" t="s">
        <v>72</v>
      </c>
      <c r="C92" s="38">
        <v>100</v>
      </c>
      <c r="D92" s="74">
        <v>100</v>
      </c>
      <c r="E92" s="32">
        <v>150</v>
      </c>
      <c r="F92" s="9">
        <f t="shared" si="21"/>
        <v>350</v>
      </c>
      <c r="G92" s="38">
        <v>150</v>
      </c>
      <c r="H92" s="74">
        <v>150</v>
      </c>
      <c r="I92" s="74">
        <v>1500</v>
      </c>
      <c r="J92" s="9">
        <f>G92+H92+I92</f>
        <v>1800</v>
      </c>
      <c r="K92" s="74">
        <v>9000</v>
      </c>
      <c r="L92" s="74">
        <v>3500</v>
      </c>
      <c r="M92" s="74">
        <v>700</v>
      </c>
      <c r="N92" s="9">
        <f>K92+L92+M92</f>
        <v>13200</v>
      </c>
      <c r="O92" s="145">
        <f>100+37</f>
        <v>137</v>
      </c>
      <c r="P92" s="74">
        <v>400</v>
      </c>
      <c r="Q92" s="106">
        <v>300</v>
      </c>
      <c r="R92" s="9">
        <f>O92+P92+Q92</f>
        <v>837</v>
      </c>
      <c r="S92" s="108">
        <f t="shared" si="30"/>
        <v>16187</v>
      </c>
    </row>
    <row r="93" spans="1:19" s="1" customFormat="1" ht="29.25" customHeight="1" x14ac:dyDescent="0.25">
      <c r="A93" s="159">
        <v>2</v>
      </c>
      <c r="B93" s="101" t="s">
        <v>73</v>
      </c>
      <c r="C93" s="38">
        <v>5600</v>
      </c>
      <c r="D93" s="74">
        <v>4400</v>
      </c>
      <c r="E93" s="32">
        <v>3600</v>
      </c>
      <c r="F93" s="9">
        <f t="shared" si="21"/>
        <v>13600</v>
      </c>
      <c r="G93" s="38">
        <v>2900</v>
      </c>
      <c r="H93" s="74">
        <v>1100</v>
      </c>
      <c r="I93" s="74">
        <v>550</v>
      </c>
      <c r="J93" s="9">
        <f t="shared" ref="J93:J95" si="32">G93+H93+I93</f>
        <v>4550</v>
      </c>
      <c r="K93" s="74">
        <v>200</v>
      </c>
      <c r="L93" s="74">
        <v>250</v>
      </c>
      <c r="M93" s="74">
        <v>1050</v>
      </c>
      <c r="N93" s="9">
        <f>K93+L93+M93:M94</f>
        <v>1500</v>
      </c>
      <c r="O93" s="32">
        <v>3100</v>
      </c>
      <c r="P93" s="74">
        <v>4500</v>
      </c>
      <c r="Q93" s="106">
        <v>5800</v>
      </c>
      <c r="R93" s="9">
        <f t="shared" ref="R93:R95" si="33">O93+P93+Q93</f>
        <v>13400</v>
      </c>
      <c r="S93" s="108">
        <f t="shared" si="30"/>
        <v>33050</v>
      </c>
    </row>
    <row r="94" spans="1:19" s="1" customFormat="1" x14ac:dyDescent="0.25">
      <c r="A94" s="161"/>
      <c r="B94" s="101" t="s">
        <v>74</v>
      </c>
      <c r="C94" s="38">
        <v>7400</v>
      </c>
      <c r="D94" s="74">
        <v>7360</v>
      </c>
      <c r="E94" s="32">
        <v>5340</v>
      </c>
      <c r="F94" s="9">
        <f t="shared" si="21"/>
        <v>20100</v>
      </c>
      <c r="G94" s="38">
        <v>4300</v>
      </c>
      <c r="H94" s="74">
        <v>3200</v>
      </c>
      <c r="I94" s="74">
        <v>2300</v>
      </c>
      <c r="J94" s="9">
        <f t="shared" si="32"/>
        <v>9800</v>
      </c>
      <c r="K94" s="74">
        <v>1800</v>
      </c>
      <c r="L94" s="74">
        <v>1800</v>
      </c>
      <c r="M94" s="74">
        <v>3100</v>
      </c>
      <c r="N94" s="9">
        <f t="shared" ref="N94:N95" si="34">K94+L94+M94:M95</f>
        <v>6700</v>
      </c>
      <c r="O94" s="32">
        <v>4340</v>
      </c>
      <c r="P94" s="74">
        <v>5360</v>
      </c>
      <c r="Q94" s="106">
        <v>7900</v>
      </c>
      <c r="R94" s="9">
        <f t="shared" si="33"/>
        <v>17600</v>
      </c>
      <c r="S94" s="108">
        <f t="shared" si="30"/>
        <v>54200</v>
      </c>
    </row>
    <row r="95" spans="1:19" s="1" customFormat="1" ht="25.5" x14ac:dyDescent="0.25">
      <c r="A95" s="88">
        <v>3</v>
      </c>
      <c r="B95" s="101" t="s">
        <v>75</v>
      </c>
      <c r="C95" s="38">
        <v>5000</v>
      </c>
      <c r="D95" s="74">
        <v>5750</v>
      </c>
      <c r="E95" s="32">
        <v>4500</v>
      </c>
      <c r="F95" s="9">
        <f t="shared" si="21"/>
        <v>15250</v>
      </c>
      <c r="G95" s="38">
        <v>3000</v>
      </c>
      <c r="H95" s="74">
        <v>1300</v>
      </c>
      <c r="I95" s="74">
        <v>100</v>
      </c>
      <c r="J95" s="9">
        <f t="shared" si="32"/>
        <v>4400</v>
      </c>
      <c r="K95" s="74">
        <v>100</v>
      </c>
      <c r="L95" s="74">
        <v>50</v>
      </c>
      <c r="M95" s="74">
        <v>300</v>
      </c>
      <c r="N95" s="9">
        <f t="shared" si="34"/>
        <v>450</v>
      </c>
      <c r="O95" s="32">
        <v>2000</v>
      </c>
      <c r="P95" s="74">
        <v>2800</v>
      </c>
      <c r="Q95" s="106">
        <v>4600</v>
      </c>
      <c r="R95" s="9">
        <f t="shared" si="33"/>
        <v>9400</v>
      </c>
      <c r="S95" s="108">
        <f t="shared" si="30"/>
        <v>29500</v>
      </c>
    </row>
    <row r="96" spans="1:19" s="1" customFormat="1" ht="25.5" x14ac:dyDescent="0.25">
      <c r="A96" s="86"/>
      <c r="B96" s="96" t="s">
        <v>76</v>
      </c>
      <c r="C96" s="36">
        <f t="shared" ref="C96:Q96" si="35">SUM(C97:C97)</f>
        <v>3000</v>
      </c>
      <c r="D96" s="11">
        <f t="shared" si="35"/>
        <v>3000</v>
      </c>
      <c r="E96" s="30">
        <f t="shared" si="35"/>
        <v>2000</v>
      </c>
      <c r="F96" s="11">
        <f t="shared" si="35"/>
        <v>8000</v>
      </c>
      <c r="G96" s="36">
        <f t="shared" si="35"/>
        <v>2000</v>
      </c>
      <c r="H96" s="11">
        <f t="shared" si="35"/>
        <v>1500</v>
      </c>
      <c r="I96" s="11">
        <f t="shared" si="35"/>
        <v>1500</v>
      </c>
      <c r="J96" s="11">
        <f>J97</f>
        <v>5000</v>
      </c>
      <c r="K96" s="11">
        <f t="shared" si="35"/>
        <v>1500</v>
      </c>
      <c r="L96" s="11">
        <f t="shared" si="35"/>
        <v>1500</v>
      </c>
      <c r="M96" s="11">
        <f t="shared" si="35"/>
        <v>2000</v>
      </c>
      <c r="N96" s="11">
        <f>K96+L96+M96:M97</f>
        <v>5000</v>
      </c>
      <c r="O96" s="30">
        <f t="shared" si="35"/>
        <v>3000</v>
      </c>
      <c r="P96" s="11">
        <f t="shared" si="35"/>
        <v>3000</v>
      </c>
      <c r="Q96" s="14">
        <f t="shared" si="35"/>
        <v>3000</v>
      </c>
      <c r="R96" s="11">
        <f>O96+P96+Q96</f>
        <v>9000</v>
      </c>
      <c r="S96" s="36">
        <v>17600</v>
      </c>
    </row>
    <row r="97" spans="1:22" s="1" customFormat="1" ht="25.5" x14ac:dyDescent="0.25">
      <c r="A97" s="88">
        <v>1</v>
      </c>
      <c r="B97" s="89" t="s">
        <v>77</v>
      </c>
      <c r="C97" s="38">
        <v>3000</v>
      </c>
      <c r="D97" s="74">
        <v>3000</v>
      </c>
      <c r="E97" s="32">
        <v>2000</v>
      </c>
      <c r="F97" s="9">
        <f t="shared" ref="F97" si="36">C97+D97+E97</f>
        <v>8000</v>
      </c>
      <c r="G97" s="38">
        <v>2000</v>
      </c>
      <c r="H97" s="74">
        <v>1500</v>
      </c>
      <c r="I97" s="74">
        <v>1500</v>
      </c>
      <c r="J97" s="9">
        <f t="shared" ref="J97" si="37">G97+H97+I97</f>
        <v>5000</v>
      </c>
      <c r="K97" s="74">
        <v>1500</v>
      </c>
      <c r="L97" s="74">
        <v>1500</v>
      </c>
      <c r="M97" s="74">
        <v>2000</v>
      </c>
      <c r="N97" s="9">
        <f t="shared" ref="N97" si="38">K97+L97+M97</f>
        <v>5000</v>
      </c>
      <c r="O97" s="32">
        <v>3000</v>
      </c>
      <c r="P97" s="74">
        <v>3000</v>
      </c>
      <c r="Q97" s="106">
        <v>3000</v>
      </c>
      <c r="R97" s="9">
        <f t="shared" ref="R97" si="39">O97+P97+Q97</f>
        <v>9000</v>
      </c>
      <c r="S97" s="108">
        <f t="shared" ref="S97" si="40">C97+D97+E97+G97+H97+I97+K97+L97+M97+O97+P97+Q97</f>
        <v>27000</v>
      </c>
      <c r="T97" s="81"/>
    </row>
    <row r="98" spans="1:22" s="1" customFormat="1" x14ac:dyDescent="0.25">
      <c r="A98" s="86"/>
      <c r="B98" s="96" t="s">
        <v>78</v>
      </c>
      <c r="C98" s="36">
        <f t="shared" ref="C98:Q98" si="41">SUM(C99:C102)</f>
        <v>19400</v>
      </c>
      <c r="D98" s="11">
        <f t="shared" si="41"/>
        <v>22100</v>
      </c>
      <c r="E98" s="30">
        <f t="shared" si="41"/>
        <v>17100</v>
      </c>
      <c r="F98" s="11">
        <f t="shared" si="41"/>
        <v>58600</v>
      </c>
      <c r="G98" s="36">
        <f t="shared" si="41"/>
        <v>11500</v>
      </c>
      <c r="H98" s="11">
        <f t="shared" si="41"/>
        <v>6300</v>
      </c>
      <c r="I98" s="11">
        <f t="shared" si="41"/>
        <v>2600</v>
      </c>
      <c r="J98" s="11">
        <f>G98+H98+I98</f>
        <v>20400</v>
      </c>
      <c r="K98" s="11">
        <f t="shared" si="41"/>
        <v>1600</v>
      </c>
      <c r="L98" s="11">
        <f t="shared" si="41"/>
        <v>1300</v>
      </c>
      <c r="M98" s="11">
        <f t="shared" si="41"/>
        <v>4966</v>
      </c>
      <c r="N98" s="11">
        <f>K98+L98+M98</f>
        <v>7866</v>
      </c>
      <c r="O98" s="30">
        <f t="shared" si="41"/>
        <v>8886</v>
      </c>
      <c r="P98" s="11">
        <f t="shared" si="41"/>
        <v>15200</v>
      </c>
      <c r="Q98" s="14">
        <f t="shared" si="41"/>
        <v>21000</v>
      </c>
      <c r="R98" s="11">
        <f>O98+P98+Q98</f>
        <v>45086</v>
      </c>
      <c r="S98" s="36">
        <f>S99+S100+S101+S102</f>
        <v>131952</v>
      </c>
    </row>
    <row r="99" spans="1:22" s="1" customFormat="1" ht="25.5" x14ac:dyDescent="0.25">
      <c r="A99" s="88">
        <v>1</v>
      </c>
      <c r="B99" s="102" t="s">
        <v>79</v>
      </c>
      <c r="C99" s="34">
        <v>6500</v>
      </c>
      <c r="D99" s="74">
        <v>6200</v>
      </c>
      <c r="E99" s="32">
        <v>5000</v>
      </c>
      <c r="F99" s="7">
        <f t="shared" si="21"/>
        <v>17700</v>
      </c>
      <c r="G99" s="38">
        <v>4000</v>
      </c>
      <c r="H99" s="74">
        <v>2200</v>
      </c>
      <c r="I99" s="74">
        <v>700</v>
      </c>
      <c r="J99" s="15">
        <f t="shared" ref="J99:J105" si="42">G99+H99+I99</f>
        <v>6900</v>
      </c>
      <c r="K99" s="74">
        <v>200</v>
      </c>
      <c r="L99" s="74">
        <v>500</v>
      </c>
      <c r="M99" s="78">
        <f>800+564</f>
        <v>1364</v>
      </c>
      <c r="N99" s="9">
        <f>K99+L99+M99</f>
        <v>2064</v>
      </c>
      <c r="O99" s="32">
        <f>1700+834</f>
        <v>2534</v>
      </c>
      <c r="P99" s="74">
        <v>5200</v>
      </c>
      <c r="Q99" s="106">
        <v>6500</v>
      </c>
      <c r="R99" s="9">
        <f>O99+P99+Q99</f>
        <v>14234</v>
      </c>
      <c r="S99" s="112">
        <f t="shared" si="30"/>
        <v>40898</v>
      </c>
    </row>
    <row r="100" spans="1:22" s="1" customFormat="1" ht="38.25" x14ac:dyDescent="0.25">
      <c r="A100" s="88">
        <v>2</v>
      </c>
      <c r="B100" s="102" t="s">
        <v>80</v>
      </c>
      <c r="C100" s="34">
        <v>4000</v>
      </c>
      <c r="D100" s="24">
        <v>6000</v>
      </c>
      <c r="E100" s="8">
        <v>4200</v>
      </c>
      <c r="F100" s="7">
        <f t="shared" si="21"/>
        <v>14200</v>
      </c>
      <c r="G100" s="34">
        <v>3500</v>
      </c>
      <c r="H100" s="24">
        <v>2100</v>
      </c>
      <c r="I100" s="24">
        <v>600</v>
      </c>
      <c r="J100" s="15">
        <f t="shared" si="42"/>
        <v>6200</v>
      </c>
      <c r="K100" s="24">
        <v>1000</v>
      </c>
      <c r="L100" s="24">
        <v>500</v>
      </c>
      <c r="M100" s="78">
        <f>1000+462</f>
        <v>1462</v>
      </c>
      <c r="N100" s="9">
        <f t="shared" ref="N100:N102" si="43">K100+L100+M100</f>
        <v>2962</v>
      </c>
      <c r="O100" s="145">
        <f>2500</f>
        <v>2500</v>
      </c>
      <c r="P100" s="24">
        <v>2300</v>
      </c>
      <c r="Q100" s="120">
        <v>5500</v>
      </c>
      <c r="R100" s="7">
        <f>O100+P100+Q100</f>
        <v>10300</v>
      </c>
      <c r="S100" s="112">
        <f t="shared" si="30"/>
        <v>33662</v>
      </c>
    </row>
    <row r="101" spans="1:22" s="1" customFormat="1" ht="24.75" customHeight="1" x14ac:dyDescent="0.25">
      <c r="A101" s="103">
        <v>3</v>
      </c>
      <c r="B101" s="102" t="s">
        <v>81</v>
      </c>
      <c r="C101" s="34">
        <v>1100</v>
      </c>
      <c r="D101" s="24">
        <v>1600</v>
      </c>
      <c r="E101" s="8">
        <f>1200+1200</f>
        <v>2400</v>
      </c>
      <c r="F101" s="7">
        <f t="shared" si="21"/>
        <v>5100</v>
      </c>
      <c r="G101" s="34">
        <v>800</v>
      </c>
      <c r="H101" s="24">
        <v>800</v>
      </c>
      <c r="I101" s="24">
        <v>800</v>
      </c>
      <c r="J101" s="15">
        <f t="shared" si="42"/>
        <v>2400</v>
      </c>
      <c r="K101" s="24">
        <v>200</v>
      </c>
      <c r="L101" s="24">
        <v>150</v>
      </c>
      <c r="M101" s="78">
        <f>700+40</f>
        <v>740</v>
      </c>
      <c r="N101" s="9">
        <f t="shared" si="43"/>
        <v>1090</v>
      </c>
      <c r="O101" s="145">
        <f>700+22</f>
        <v>722</v>
      </c>
      <c r="P101" s="24">
        <v>1000</v>
      </c>
      <c r="Q101" s="120">
        <v>1500</v>
      </c>
      <c r="R101" s="7">
        <f t="shared" ref="R101:R102" si="44">O101+P101+Q101</f>
        <v>3222</v>
      </c>
      <c r="S101" s="112">
        <f t="shared" si="30"/>
        <v>11812</v>
      </c>
      <c r="T101" s="81"/>
    </row>
    <row r="102" spans="1:22" s="1" customFormat="1" ht="25.5" x14ac:dyDescent="0.25">
      <c r="A102" s="103">
        <v>4</v>
      </c>
      <c r="B102" s="102" t="s">
        <v>82</v>
      </c>
      <c r="C102" s="34">
        <v>7800</v>
      </c>
      <c r="D102" s="24">
        <v>8300</v>
      </c>
      <c r="E102" s="8">
        <v>5500</v>
      </c>
      <c r="F102" s="7">
        <f t="shared" si="21"/>
        <v>21600</v>
      </c>
      <c r="G102" s="34">
        <f>3000+200</f>
        <v>3200</v>
      </c>
      <c r="H102" s="24">
        <v>1200</v>
      </c>
      <c r="I102" s="24">
        <v>500</v>
      </c>
      <c r="J102" s="15">
        <f t="shared" si="42"/>
        <v>4900</v>
      </c>
      <c r="K102" s="24">
        <v>200</v>
      </c>
      <c r="L102" s="24">
        <v>150</v>
      </c>
      <c r="M102" s="24">
        <v>1400</v>
      </c>
      <c r="N102" s="9">
        <f t="shared" si="43"/>
        <v>1750</v>
      </c>
      <c r="O102" s="8">
        <f>3000+130</f>
        <v>3130</v>
      </c>
      <c r="P102" s="24">
        <f>5000+1700</f>
        <v>6700</v>
      </c>
      <c r="Q102" s="120">
        <v>7500</v>
      </c>
      <c r="R102" s="7">
        <f t="shared" si="44"/>
        <v>17330</v>
      </c>
      <c r="S102" s="112">
        <f t="shared" si="30"/>
        <v>45580</v>
      </c>
    </row>
    <row r="103" spans="1:22" s="1" customFormat="1" x14ac:dyDescent="0.25">
      <c r="A103" s="86"/>
      <c r="B103" s="96" t="s">
        <v>83</v>
      </c>
      <c r="C103" s="39">
        <f t="shared" ref="C103:Q103" si="45">C104+C105</f>
        <v>16000</v>
      </c>
      <c r="D103" s="16">
        <f t="shared" si="45"/>
        <v>15200</v>
      </c>
      <c r="E103" s="33">
        <f t="shared" si="45"/>
        <v>16000</v>
      </c>
      <c r="F103" s="16">
        <f t="shared" si="45"/>
        <v>47200</v>
      </c>
      <c r="G103" s="39">
        <f t="shared" si="45"/>
        <v>12100</v>
      </c>
      <c r="H103" s="16">
        <f t="shared" si="45"/>
        <v>8700</v>
      </c>
      <c r="I103" s="16">
        <f t="shared" si="45"/>
        <v>6900</v>
      </c>
      <c r="J103" s="11">
        <f t="shared" si="42"/>
        <v>27700</v>
      </c>
      <c r="K103" s="16">
        <f t="shared" si="45"/>
        <v>7100</v>
      </c>
      <c r="L103" s="16">
        <f t="shared" si="45"/>
        <v>6900</v>
      </c>
      <c r="M103" s="16">
        <f t="shared" si="45"/>
        <v>8700</v>
      </c>
      <c r="N103" s="16">
        <f>K103+L103+M103</f>
        <v>22700</v>
      </c>
      <c r="O103" s="33">
        <f t="shared" si="45"/>
        <v>10800</v>
      </c>
      <c r="P103" s="16">
        <f t="shared" si="45"/>
        <v>14000</v>
      </c>
      <c r="Q103" s="121">
        <f t="shared" si="45"/>
        <v>17525</v>
      </c>
      <c r="R103" s="16">
        <f>O103+P103+Q103</f>
        <v>42325</v>
      </c>
      <c r="S103" s="39">
        <f>F103+J103+N103+R103</f>
        <v>139925</v>
      </c>
    </row>
    <row r="104" spans="1:22" s="1" customFormat="1" x14ac:dyDescent="0.25">
      <c r="A104" s="88">
        <v>1</v>
      </c>
      <c r="B104" s="97" t="s">
        <v>84</v>
      </c>
      <c r="C104" s="34">
        <v>8500</v>
      </c>
      <c r="D104" s="24">
        <v>8000</v>
      </c>
      <c r="E104" s="8">
        <v>8000</v>
      </c>
      <c r="F104" s="7">
        <f t="shared" si="21"/>
        <v>24500</v>
      </c>
      <c r="G104" s="34">
        <v>7500</v>
      </c>
      <c r="H104" s="24">
        <v>6700</v>
      </c>
      <c r="I104" s="24">
        <v>5600</v>
      </c>
      <c r="J104" s="15">
        <f t="shared" si="42"/>
        <v>19800</v>
      </c>
      <c r="K104" s="24">
        <v>5600</v>
      </c>
      <c r="L104" s="24">
        <v>5600</v>
      </c>
      <c r="M104" s="24">
        <v>6600</v>
      </c>
      <c r="N104" s="7">
        <f>K104+L104+M104</f>
        <v>17800</v>
      </c>
      <c r="O104" s="8">
        <v>7000</v>
      </c>
      <c r="P104" s="24">
        <v>8000</v>
      </c>
      <c r="Q104" s="120">
        <f>8500+2525</f>
        <v>11025</v>
      </c>
      <c r="R104" s="7">
        <f>O104+P104+Q104</f>
        <v>26025</v>
      </c>
      <c r="S104" s="112">
        <f t="shared" si="30"/>
        <v>88125</v>
      </c>
    </row>
    <row r="105" spans="1:22" s="1" customFormat="1" ht="30.75" customHeight="1" x14ac:dyDescent="0.25">
      <c r="A105" s="88">
        <v>2</v>
      </c>
      <c r="B105" s="97" t="s">
        <v>85</v>
      </c>
      <c r="C105" s="34">
        <v>7500</v>
      </c>
      <c r="D105" s="24">
        <v>7200</v>
      </c>
      <c r="E105" s="8">
        <v>8000</v>
      </c>
      <c r="F105" s="7">
        <f t="shared" si="21"/>
        <v>22700</v>
      </c>
      <c r="G105" s="34">
        <v>4600</v>
      </c>
      <c r="H105" s="24">
        <v>2000</v>
      </c>
      <c r="I105" s="24">
        <v>1300</v>
      </c>
      <c r="J105" s="15">
        <f t="shared" si="42"/>
        <v>7900</v>
      </c>
      <c r="K105" s="24">
        <v>1500</v>
      </c>
      <c r="L105" s="24">
        <v>1300</v>
      </c>
      <c r="M105" s="24">
        <v>2100</v>
      </c>
      <c r="N105" s="7">
        <f>K105+L105+M105</f>
        <v>4900</v>
      </c>
      <c r="O105" s="8">
        <v>3800</v>
      </c>
      <c r="P105" s="24">
        <v>6000</v>
      </c>
      <c r="Q105" s="120">
        <v>6500</v>
      </c>
      <c r="R105" s="7">
        <f>O105+P105+Q105</f>
        <v>16300</v>
      </c>
      <c r="S105" s="112">
        <f t="shared" si="30"/>
        <v>51800</v>
      </c>
    </row>
    <row r="106" spans="1:22" s="1" customFormat="1" ht="15.75" thickBot="1" x14ac:dyDescent="0.3">
      <c r="A106" s="104"/>
      <c r="B106" s="105"/>
      <c r="C106" s="84">
        <f>C10+C47+C65+C91+C96+C98+C103</f>
        <v>990823</v>
      </c>
      <c r="D106" s="18">
        <f t="shared" ref="D106:R106" si="46">D103+D98+D96+D91+D65+D47+D10</f>
        <v>1003254</v>
      </c>
      <c r="E106" s="19">
        <f t="shared" si="46"/>
        <v>843602</v>
      </c>
      <c r="F106" s="18">
        <f t="shared" si="46"/>
        <v>2834379</v>
      </c>
      <c r="G106" s="40">
        <f t="shared" si="46"/>
        <v>619634</v>
      </c>
      <c r="H106" s="17">
        <f t="shared" si="46"/>
        <v>334046</v>
      </c>
      <c r="I106" s="18">
        <f t="shared" si="46"/>
        <v>132070</v>
      </c>
      <c r="J106" s="18">
        <f t="shared" si="46"/>
        <v>1089150</v>
      </c>
      <c r="K106" s="18">
        <f t="shared" si="46"/>
        <v>48100</v>
      </c>
      <c r="L106" s="18">
        <f t="shared" si="46"/>
        <v>47837</v>
      </c>
      <c r="M106" s="18">
        <f t="shared" si="46"/>
        <v>326209</v>
      </c>
      <c r="N106" s="18">
        <f t="shared" si="46"/>
        <v>422146</v>
      </c>
      <c r="O106" s="19">
        <f t="shared" si="46"/>
        <v>601665</v>
      </c>
      <c r="P106" s="18">
        <f t="shared" si="46"/>
        <v>827030</v>
      </c>
      <c r="Q106" s="122">
        <f t="shared" si="46"/>
        <v>1039449</v>
      </c>
      <c r="R106" s="18">
        <f t="shared" si="46"/>
        <v>2468144</v>
      </c>
      <c r="S106" s="40">
        <f>S10+S47+S65+S91+S96+S98+S103</f>
        <v>6421024</v>
      </c>
    </row>
    <row r="107" spans="1:22" s="1" customFormat="1" x14ac:dyDescent="0.25">
      <c r="C107" s="28"/>
      <c r="F107" s="25"/>
      <c r="J107" s="25"/>
      <c r="N107" s="25"/>
      <c r="R107" s="25"/>
    </row>
    <row r="108" spans="1:22" s="1" customFormat="1" x14ac:dyDescent="0.25">
      <c r="B108" s="28"/>
      <c r="F108" s="25"/>
      <c r="J108" s="25"/>
      <c r="N108" s="25"/>
      <c r="R108" s="25"/>
    </row>
    <row r="109" spans="1:22" s="1" customFormat="1" ht="26.25" customHeight="1" x14ac:dyDescent="0.25">
      <c r="B109" s="28"/>
      <c r="F109" s="25"/>
      <c r="J109" s="25"/>
      <c r="N109" s="25"/>
      <c r="U109" s="42"/>
      <c r="V109" s="41"/>
    </row>
    <row r="110" spans="1:22" ht="33" customHeight="1" x14ac:dyDescent="0.25">
      <c r="B110" s="21"/>
      <c r="C110" s="2"/>
      <c r="E110" s="3"/>
      <c r="F110" s="4"/>
      <c r="G110" s="1"/>
      <c r="I110" s="2"/>
      <c r="J110" s="5"/>
      <c r="N110" s="6"/>
      <c r="U110" s="43"/>
      <c r="V110" s="1"/>
    </row>
    <row r="111" spans="1:22" x14ac:dyDescent="0.25">
      <c r="B111" s="20"/>
      <c r="C111" s="2"/>
      <c r="E111" s="3"/>
      <c r="F111" s="4"/>
      <c r="G111" s="1"/>
      <c r="I111" s="2"/>
      <c r="J111" s="5"/>
      <c r="N111" s="6"/>
      <c r="U111" s="6"/>
      <c r="V111" s="1"/>
    </row>
    <row r="112" spans="1:22" x14ac:dyDescent="0.25">
      <c r="B112" s="22"/>
      <c r="C112" s="2"/>
      <c r="E112" s="3"/>
      <c r="F112" s="4"/>
      <c r="G112" s="1"/>
      <c r="I112" s="2"/>
      <c r="J112" s="5"/>
      <c r="N112" s="6"/>
      <c r="R112" s="6"/>
      <c r="S112" s="1"/>
    </row>
    <row r="113" spans="2:19" x14ac:dyDescent="0.25">
      <c r="B113" s="22"/>
      <c r="C113" s="2"/>
      <c r="E113" s="3"/>
      <c r="F113" s="4"/>
      <c r="G113" s="1"/>
      <c r="I113" s="2"/>
      <c r="J113" s="5"/>
      <c r="N113" s="6"/>
      <c r="R113" s="6"/>
      <c r="S113" s="1"/>
    </row>
    <row r="114" spans="2:19" x14ac:dyDescent="0.25">
      <c r="B114" s="22"/>
      <c r="C114" s="2"/>
      <c r="E114" s="3"/>
      <c r="F114" s="4"/>
      <c r="G114" s="1"/>
      <c r="I114" s="2"/>
      <c r="J114" s="5"/>
      <c r="N114" s="6"/>
      <c r="R114" s="6"/>
      <c r="S114" s="1"/>
    </row>
    <row r="115" spans="2:19" x14ac:dyDescent="0.25">
      <c r="B115" s="22"/>
      <c r="C115" s="2"/>
      <c r="E115" s="3"/>
      <c r="F115" s="4"/>
      <c r="G115" s="1"/>
      <c r="I115" s="2"/>
      <c r="J115" s="5"/>
      <c r="N115" s="6"/>
      <c r="R115" s="6"/>
      <c r="S115" s="1"/>
    </row>
    <row r="116" spans="2:19" x14ac:dyDescent="0.25">
      <c r="B116" s="22"/>
      <c r="C116" s="2"/>
      <c r="E116" s="3"/>
      <c r="F116" s="23"/>
      <c r="G116" s="1"/>
      <c r="I116" s="2"/>
      <c r="J116" s="5"/>
      <c r="N116" s="6"/>
      <c r="R116" s="6"/>
      <c r="S116" s="1"/>
    </row>
  </sheetData>
  <mergeCells count="115">
    <mergeCell ref="A86:A87"/>
    <mergeCell ref="A93:A94"/>
    <mergeCell ref="B7:B9"/>
    <mergeCell ref="C5:R5"/>
    <mergeCell ref="A7:A9"/>
    <mergeCell ref="C7:C9"/>
    <mergeCell ref="D7:D9"/>
    <mergeCell ref="E7:E9"/>
    <mergeCell ref="F7:F9"/>
    <mergeCell ref="G7:G9"/>
    <mergeCell ref="H7:H9"/>
    <mergeCell ref="I7:I9"/>
    <mergeCell ref="J7:J9"/>
    <mergeCell ref="Q7:Q9"/>
    <mergeCell ref="R7:R9"/>
    <mergeCell ref="M17:M19"/>
    <mergeCell ref="Q22:Q23"/>
    <mergeCell ref="R22:R23"/>
    <mergeCell ref="A22:A23"/>
    <mergeCell ref="C22:C23"/>
    <mergeCell ref="D22:D23"/>
    <mergeCell ref="E22:E23"/>
    <mergeCell ref="F22:F23"/>
    <mergeCell ref="G22:G23"/>
    <mergeCell ref="S7:S9"/>
    <mergeCell ref="A17:A20"/>
    <mergeCell ref="C17:C19"/>
    <mergeCell ref="D17:D19"/>
    <mergeCell ref="E17:E19"/>
    <mergeCell ref="F17:F19"/>
    <mergeCell ref="G17:G19"/>
    <mergeCell ref="K7:K9"/>
    <mergeCell ref="L7:L9"/>
    <mergeCell ref="M7:M9"/>
    <mergeCell ref="N7:N9"/>
    <mergeCell ref="O7:O9"/>
    <mergeCell ref="P7:P9"/>
    <mergeCell ref="N17:N19"/>
    <mergeCell ref="O17:O19"/>
    <mergeCell ref="P17:P19"/>
    <mergeCell ref="Q17:Q19"/>
    <mergeCell ref="R17:R19"/>
    <mergeCell ref="S17:S19"/>
    <mergeCell ref="H17:H19"/>
    <mergeCell ref="I17:I19"/>
    <mergeCell ref="J17:J19"/>
    <mergeCell ref="K17:K19"/>
    <mergeCell ref="L17:L19"/>
    <mergeCell ref="S22:S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L29:L32"/>
    <mergeCell ref="Q35:Q37"/>
    <mergeCell ref="R35:R37"/>
    <mergeCell ref="A27:A28"/>
    <mergeCell ref="A29:A33"/>
    <mergeCell ref="C29:C32"/>
    <mergeCell ref="D29:D32"/>
    <mergeCell ref="E29:E32"/>
    <mergeCell ref="F29:F32"/>
    <mergeCell ref="Q41:Q43"/>
    <mergeCell ref="R41:R43"/>
    <mergeCell ref="S41:S43"/>
    <mergeCell ref="S29:S32"/>
    <mergeCell ref="A35:A39"/>
    <mergeCell ref="C35:C37"/>
    <mergeCell ref="D35:D37"/>
    <mergeCell ref="E35:E37"/>
    <mergeCell ref="F35:F37"/>
    <mergeCell ref="G35:G37"/>
    <mergeCell ref="H35:H37"/>
    <mergeCell ref="I35:I37"/>
    <mergeCell ref="J35:J37"/>
    <mergeCell ref="M29:M32"/>
    <mergeCell ref="N29:N32"/>
    <mergeCell ref="O29:O32"/>
    <mergeCell ref="P29:P32"/>
    <mergeCell ref="Q29:Q32"/>
    <mergeCell ref="R29:R32"/>
    <mergeCell ref="G29:G32"/>
    <mergeCell ref="H29:H32"/>
    <mergeCell ref="I29:I32"/>
    <mergeCell ref="J29:J32"/>
    <mergeCell ref="K29:K32"/>
    <mergeCell ref="A89:A90"/>
    <mergeCell ref="B89:B90"/>
    <mergeCell ref="I41:I43"/>
    <mergeCell ref="J41:J43"/>
    <mergeCell ref="K41:K43"/>
    <mergeCell ref="L41:L43"/>
    <mergeCell ref="M41:M43"/>
    <mergeCell ref="N41:N43"/>
    <mergeCell ref="S35:S37"/>
    <mergeCell ref="A41:A44"/>
    <mergeCell ref="C41:C43"/>
    <mergeCell ref="D41:D43"/>
    <mergeCell ref="E41:E43"/>
    <mergeCell ref="F41:F43"/>
    <mergeCell ref="G41:G43"/>
    <mergeCell ref="H41:H43"/>
    <mergeCell ref="K35:K37"/>
    <mergeCell ref="L35:L37"/>
    <mergeCell ref="M35:M37"/>
    <mergeCell ref="N35:N37"/>
    <mergeCell ref="O35:O37"/>
    <mergeCell ref="P35:P37"/>
    <mergeCell ref="O41:O43"/>
    <mergeCell ref="P41:P43"/>
  </mergeCells>
  <pageMargins left="0.59055118110236227" right="0" top="0.78740157480314965" bottom="0" header="0.31496062992125984" footer="0.31496062992125984"/>
  <pageSetup paperSize="9" scale="58" fitToHeight="0" orientation="landscape" r:id="rId1"/>
  <ignoredErrors>
    <ignoredError sqref="F68 N68 J96 F96 F98 F103 J103 N103 S103 N98 N96 N91" formula="1"/>
    <ignoredError sqref="N93:N9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D18" sqref="D18"/>
    </sheetView>
  </sheetViews>
  <sheetFormatPr defaultRowHeight="15" x14ac:dyDescent="0.25"/>
  <cols>
    <col min="1" max="1" width="25.5703125" customWidth="1"/>
    <col min="2" max="2" width="16.5703125" customWidth="1"/>
    <col min="3" max="3" width="13.28515625" customWidth="1"/>
    <col min="4" max="4" width="15" customWidth="1"/>
  </cols>
  <sheetData>
    <row r="2" spans="1:4" ht="15.75" x14ac:dyDescent="0.25">
      <c r="A2" s="210" t="s">
        <v>117</v>
      </c>
      <c r="B2" s="210"/>
      <c r="C2" s="210"/>
      <c r="D2" s="210"/>
    </row>
    <row r="3" spans="1:4" ht="15.75" x14ac:dyDescent="0.25">
      <c r="A3" s="48"/>
      <c r="B3" s="48"/>
      <c r="C3" s="48"/>
      <c r="D3" s="48"/>
    </row>
    <row r="4" spans="1:4" ht="31.5" x14ac:dyDescent="0.25">
      <c r="A4" s="51" t="s">
        <v>116</v>
      </c>
      <c r="B4" s="52" t="s">
        <v>115</v>
      </c>
      <c r="C4" s="52" t="s">
        <v>118</v>
      </c>
      <c r="D4" s="53" t="s">
        <v>114</v>
      </c>
    </row>
    <row r="5" spans="1:4" ht="15.75" x14ac:dyDescent="0.25">
      <c r="A5" s="49" t="s">
        <v>110</v>
      </c>
      <c r="B5" s="49">
        <v>10084445.73</v>
      </c>
      <c r="C5" s="49">
        <v>734139.35</v>
      </c>
      <c r="D5" s="50">
        <f>B5+C5</f>
        <v>10818585.08</v>
      </c>
    </row>
    <row r="6" spans="1:4" ht="15.75" x14ac:dyDescent="0.25">
      <c r="A6" s="49" t="s">
        <v>108</v>
      </c>
      <c r="B6" s="49">
        <v>101789.98</v>
      </c>
      <c r="C6" s="49">
        <v>1499.59</v>
      </c>
      <c r="D6" s="50">
        <f t="shared" ref="D6:D9" si="0">B6+C6</f>
        <v>103289.56999999999</v>
      </c>
    </row>
    <row r="7" spans="1:4" ht="15.75" x14ac:dyDescent="0.25">
      <c r="A7" s="49" t="s">
        <v>111</v>
      </c>
      <c r="B7" s="49">
        <v>7534174.3399999999</v>
      </c>
      <c r="C7" s="49">
        <v>2965761.54</v>
      </c>
      <c r="D7" s="50">
        <f t="shared" si="0"/>
        <v>10499935.879999999</v>
      </c>
    </row>
    <row r="8" spans="1:4" ht="15.75" x14ac:dyDescent="0.25">
      <c r="A8" s="49" t="s">
        <v>112</v>
      </c>
      <c r="B8" s="49">
        <v>1539025.14</v>
      </c>
      <c r="C8" s="49">
        <v>301431.78000000003</v>
      </c>
      <c r="D8" s="50">
        <f t="shared" si="0"/>
        <v>1840456.92</v>
      </c>
    </row>
    <row r="9" spans="1:4" ht="15.75" x14ac:dyDescent="0.25">
      <c r="A9" s="49" t="s">
        <v>109</v>
      </c>
      <c r="B9" s="49">
        <v>2507425.81</v>
      </c>
      <c r="C9" s="49">
        <v>322406.24</v>
      </c>
      <c r="D9" s="50">
        <f t="shared" si="0"/>
        <v>2829832.05</v>
      </c>
    </row>
    <row r="10" spans="1:4" ht="15.75" x14ac:dyDescent="0.25">
      <c r="A10" s="49" t="s">
        <v>113</v>
      </c>
      <c r="B10" s="49"/>
      <c r="C10" s="49"/>
      <c r="D10" s="50"/>
    </row>
    <row r="11" spans="1:4" ht="15.75" x14ac:dyDescent="0.25">
      <c r="A11" s="50" t="s">
        <v>114</v>
      </c>
      <c r="B11" s="50">
        <f>SUM(B5:B10)</f>
        <v>21766861</v>
      </c>
      <c r="C11" s="50">
        <f>C5+C6+C7+C8+C9</f>
        <v>4325238.5</v>
      </c>
      <c r="D11" s="50">
        <f>B11+C11</f>
        <v>26092099.5</v>
      </c>
    </row>
    <row r="12" spans="1:4" ht="15.75" x14ac:dyDescent="0.25">
      <c r="A12" s="48"/>
      <c r="B12" s="48"/>
      <c r="C12" s="48"/>
      <c r="D12" s="48"/>
    </row>
    <row r="13" spans="1:4" ht="15.75" x14ac:dyDescent="0.25">
      <c r="A13" s="48" t="s">
        <v>119</v>
      </c>
      <c r="B13" s="48"/>
      <c r="C13" s="48"/>
      <c r="D13" s="48"/>
    </row>
    <row r="14" spans="1:4" ht="15.75" x14ac:dyDescent="0.25">
      <c r="A14" s="48"/>
      <c r="B14" s="48"/>
      <c r="C14" s="48"/>
      <c r="D14" s="48"/>
    </row>
    <row r="15" spans="1:4" ht="15.75" x14ac:dyDescent="0.25">
      <c r="A15" s="48" t="s">
        <v>120</v>
      </c>
      <c r="B15" s="48" t="s">
        <v>121</v>
      </c>
      <c r="C15" s="48"/>
      <c r="D15" s="48"/>
    </row>
    <row r="16" spans="1:4" ht="15.75" x14ac:dyDescent="0.25">
      <c r="A16" s="48"/>
      <c r="B16" s="48"/>
      <c r="C16" s="48"/>
      <c r="D16" s="48"/>
    </row>
    <row r="17" spans="1:4" x14ac:dyDescent="0.25">
      <c r="A17" s="47"/>
      <c r="B17" s="47"/>
      <c r="C17" s="47"/>
      <c r="D17" s="47"/>
    </row>
    <row r="18" spans="1:4" x14ac:dyDescent="0.25">
      <c r="A18" s="47"/>
      <c r="B18" s="47"/>
      <c r="C18" s="47"/>
      <c r="D18" s="4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2018-01-24T01:33:20Z</dcterms:modified>
</cp:coreProperties>
</file>